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33.9\общие папки\OCЭПП\ИТОГИ\2024\1 квартал\на сайт январь-март 2024\"/>
    </mc:Choice>
  </mc:AlternateContent>
  <bookViews>
    <workbookView xWindow="0" yWindow="0" windowWidth="28800" windowHeight="11730"/>
  </bookViews>
  <sheets>
    <sheet name="Лист1" sheetId="1" r:id="rId1"/>
  </sheets>
  <definedNames>
    <definedName name="Print_Titles" localSheetId="0">Лист1!$6:$6</definedName>
    <definedName name="_xlnm.Print_Titles" localSheetId="0">Лист1!$6:$6</definedName>
    <definedName name="_xlnm.Print_Area" localSheetId="0">Лист1!$A$1:$M$117</definedName>
  </definedNames>
  <calcPr calcId="162913"/>
</workbook>
</file>

<file path=xl/calcChain.xml><?xml version="1.0" encoding="utf-8"?>
<calcChain xmlns="http://schemas.openxmlformats.org/spreadsheetml/2006/main">
  <c r="I15" i="1" l="1"/>
  <c r="L104" i="1" l="1"/>
  <c r="J104" i="1"/>
  <c r="H104" i="1"/>
  <c r="F104" i="1"/>
  <c r="D104" i="1"/>
  <c r="L102" i="1"/>
  <c r="M101" i="1" l="1"/>
  <c r="M102" i="1"/>
  <c r="I102" i="1"/>
  <c r="E102" i="1"/>
  <c r="G102" i="1"/>
  <c r="M115" i="1" l="1"/>
  <c r="E116" i="1" l="1"/>
  <c r="G116" i="1"/>
  <c r="I115" i="1"/>
  <c r="E115" i="1"/>
  <c r="G115" i="1"/>
  <c r="F114" i="1"/>
  <c r="H114" i="1"/>
  <c r="J114" i="1"/>
  <c r="L114" i="1"/>
  <c r="D114" i="1"/>
  <c r="E113" i="1"/>
  <c r="I113" i="1"/>
  <c r="M113" i="1"/>
  <c r="G113" i="1"/>
  <c r="L59" i="1" l="1"/>
  <c r="J59" i="1"/>
  <c r="H59" i="1"/>
  <c r="F59" i="1"/>
  <c r="D59" i="1"/>
  <c r="E58" i="1"/>
  <c r="M58" i="1"/>
  <c r="I58" i="1"/>
  <c r="K58" i="1"/>
  <c r="G58" i="1"/>
  <c r="M13" i="1" l="1"/>
  <c r="I13" i="1"/>
  <c r="E13" i="1"/>
  <c r="G13" i="1"/>
  <c r="M14" i="1" l="1"/>
  <c r="E14" i="1"/>
  <c r="I14" i="1"/>
  <c r="I101" i="1"/>
  <c r="E101" i="1"/>
  <c r="G101" i="1"/>
  <c r="L106" i="1"/>
  <c r="J106" i="1"/>
  <c r="H106" i="1"/>
  <c r="F106" i="1"/>
  <c r="D106" i="1"/>
  <c r="M105" i="1"/>
  <c r="I105" i="1"/>
  <c r="G105" i="1"/>
  <c r="E105" i="1"/>
  <c r="M67" i="1" l="1"/>
  <c r="I67" i="1"/>
  <c r="G67" i="1"/>
  <c r="E67" i="1"/>
  <c r="G65" i="1"/>
  <c r="G62" i="1"/>
  <c r="G61" i="1"/>
  <c r="G60" i="1"/>
  <c r="E65" i="1"/>
  <c r="E62" i="1"/>
  <c r="E61" i="1"/>
  <c r="E60" i="1"/>
  <c r="I61" i="1"/>
  <c r="I62" i="1"/>
  <c r="I65" i="1"/>
  <c r="I60" i="1"/>
  <c r="K60" i="1"/>
  <c r="M116" i="1"/>
  <c r="I116" i="1"/>
  <c r="M112" i="1"/>
  <c r="M111" i="1"/>
  <c r="K111" i="1"/>
  <c r="I112" i="1"/>
  <c r="I111" i="1"/>
  <c r="G112" i="1"/>
  <c r="G111" i="1"/>
  <c r="E109" i="1" l="1"/>
  <c r="L108" i="1"/>
  <c r="J108" i="1"/>
  <c r="H108" i="1"/>
  <c r="I108" i="1" s="1"/>
  <c r="F108" i="1"/>
  <c r="G108" i="1" s="1"/>
  <c r="D108" i="1"/>
  <c r="E108" i="1" s="1"/>
  <c r="L107" i="1"/>
  <c r="J107" i="1"/>
  <c r="K107" i="1" s="1"/>
  <c r="H107" i="1"/>
  <c r="F107" i="1"/>
  <c r="G107" i="1" s="1"/>
  <c r="D107" i="1"/>
  <c r="E107" i="1" s="1"/>
  <c r="L103" i="1"/>
  <c r="M103" i="1" s="1"/>
  <c r="J103" i="1"/>
  <c r="H103" i="1"/>
  <c r="F103" i="1"/>
  <c r="G103" i="1" s="1"/>
  <c r="D103" i="1"/>
  <c r="E103" i="1" s="1"/>
  <c r="I82" i="1"/>
  <c r="M99" i="1"/>
  <c r="I99" i="1"/>
  <c r="M98" i="1"/>
  <c r="I98" i="1"/>
  <c r="M96" i="1"/>
  <c r="I96" i="1"/>
  <c r="M94" i="1"/>
  <c r="I94" i="1"/>
  <c r="M92" i="1"/>
  <c r="K92" i="1"/>
  <c r="M91" i="1"/>
  <c r="M90" i="1"/>
  <c r="M89" i="1"/>
  <c r="M88" i="1"/>
  <c r="M107" i="1" l="1"/>
  <c r="I103" i="1"/>
  <c r="I107" i="1"/>
  <c r="K103" i="1"/>
  <c r="M108" i="1"/>
  <c r="D56" i="1"/>
  <c r="F56" i="1"/>
  <c r="H56" i="1"/>
  <c r="J56" i="1"/>
  <c r="L56" i="1"/>
  <c r="M55" i="1"/>
  <c r="I55" i="1"/>
  <c r="E55" i="1"/>
  <c r="L53" i="1"/>
  <c r="H53" i="1"/>
  <c r="D53" i="1"/>
  <c r="E52" i="1"/>
  <c r="I52" i="1"/>
  <c r="M52" i="1"/>
  <c r="D50" i="1"/>
  <c r="F50" i="1"/>
  <c r="H50" i="1"/>
  <c r="J50" i="1"/>
  <c r="L50" i="1"/>
  <c r="M49" i="1"/>
  <c r="I49" i="1"/>
  <c r="L47" i="1" l="1"/>
  <c r="H47" i="1"/>
  <c r="D47" i="1"/>
  <c r="L28" i="1"/>
  <c r="J28" i="1"/>
  <c r="H28" i="1"/>
  <c r="F28" i="1"/>
  <c r="D28" i="1"/>
  <c r="L26" i="1"/>
  <c r="J26" i="1"/>
  <c r="H26" i="1"/>
  <c r="F26" i="1"/>
  <c r="D26" i="1"/>
  <c r="L24" i="1"/>
  <c r="J24" i="1"/>
  <c r="H24" i="1"/>
  <c r="F24" i="1"/>
  <c r="D24" i="1"/>
  <c r="L22" i="1"/>
  <c r="J22" i="1"/>
  <c r="H22" i="1"/>
  <c r="F22" i="1"/>
  <c r="D22" i="1"/>
  <c r="H20" i="1"/>
  <c r="M46" i="1"/>
  <c r="I46" i="1"/>
  <c r="E46" i="1"/>
  <c r="L19" i="1"/>
  <c r="L20" i="1" s="1"/>
  <c r="M27" i="1"/>
  <c r="M25" i="1"/>
  <c r="M23" i="1"/>
  <c r="M21" i="1"/>
  <c r="H19" i="1"/>
  <c r="D19" i="1"/>
  <c r="D20" i="1" s="1"/>
  <c r="I21" i="1"/>
  <c r="E21" i="1"/>
  <c r="I23" i="1"/>
  <c r="E23" i="1"/>
  <c r="I25" i="1"/>
  <c r="E25" i="1"/>
  <c r="E27" i="1"/>
  <c r="I27" i="1"/>
  <c r="I19" i="1" l="1"/>
  <c r="M19" i="1"/>
  <c r="E19" i="1"/>
  <c r="I10" i="1"/>
  <c r="I9" i="1"/>
  <c r="E10" i="1"/>
  <c r="M9" i="1"/>
  <c r="M10" i="1"/>
  <c r="J46" i="1" l="1"/>
  <c r="F46" i="1"/>
  <c r="M17" i="1"/>
  <c r="M16" i="1"/>
  <c r="M15" i="1"/>
  <c r="I17" i="1"/>
  <c r="I16" i="1"/>
  <c r="G46" i="1" l="1"/>
  <c r="F47" i="1"/>
  <c r="K46" i="1"/>
  <c r="J47" i="1"/>
  <c r="K55" i="1"/>
  <c r="G55" i="1"/>
  <c r="G52" i="1"/>
  <c r="K49" i="1"/>
  <c r="J19" i="1"/>
  <c r="F19" i="1"/>
  <c r="G21" i="1"/>
  <c r="G27" i="1"/>
  <c r="G25" i="1"/>
  <c r="G23" i="1"/>
  <c r="G17" i="1"/>
  <c r="G16" i="1"/>
  <c r="G15" i="1"/>
  <c r="G14" i="1"/>
  <c r="G11" i="1"/>
  <c r="K10" i="1"/>
  <c r="K11" i="1"/>
  <c r="K13" i="1"/>
  <c r="K14" i="1"/>
  <c r="K15" i="1"/>
  <c r="K16" i="1"/>
  <c r="K17" i="1"/>
  <c r="K21" i="1"/>
  <c r="K23" i="1"/>
  <c r="K25" i="1"/>
  <c r="K27" i="1"/>
  <c r="K32" i="1"/>
  <c r="K52" i="1"/>
  <c r="K61" i="1"/>
  <c r="K62" i="1"/>
  <c r="K63" i="1"/>
  <c r="K65" i="1"/>
  <c r="K67" i="1"/>
  <c r="K82" i="1"/>
  <c r="K88" i="1"/>
  <c r="K89" i="1"/>
  <c r="K90" i="1"/>
  <c r="K91" i="1"/>
  <c r="K94" i="1"/>
  <c r="K96" i="1"/>
  <c r="K98" i="1"/>
  <c r="K99" i="1"/>
  <c r="K101" i="1"/>
  <c r="K102" i="1"/>
  <c r="K105" i="1"/>
  <c r="K108" i="1"/>
  <c r="K112" i="1"/>
  <c r="K113" i="1"/>
  <c r="K115" i="1"/>
  <c r="K116" i="1"/>
  <c r="K9" i="1"/>
  <c r="G9" i="1"/>
  <c r="G19" i="1" l="1"/>
  <c r="F20" i="1"/>
  <c r="J20" i="1"/>
  <c r="K19" i="1"/>
</calcChain>
</file>

<file path=xl/sharedStrings.xml><?xml version="1.0" encoding="utf-8"?>
<sst xmlns="http://schemas.openxmlformats.org/spreadsheetml/2006/main" count="656" uniqueCount="252">
  <si>
    <t>№ п/п</t>
  </si>
  <si>
    <t>Показатели</t>
  </si>
  <si>
    <t>единицы измерения</t>
  </si>
  <si>
    <t xml:space="preserve"> 2022 год</t>
  </si>
  <si>
    <t xml:space="preserve"> 2023 год</t>
  </si>
  <si>
    <t>1.</t>
  </si>
  <si>
    <t>Демография:</t>
  </si>
  <si>
    <t>1.1.</t>
  </si>
  <si>
    <t>Численность населения (среднегодовая)</t>
  </si>
  <si>
    <t>тыс.человек</t>
  </si>
  <si>
    <t>1.2.</t>
  </si>
  <si>
    <t>человек</t>
  </si>
  <si>
    <t>1.3.</t>
  </si>
  <si>
    <t>Миграционный прирост (убыль) населения</t>
  </si>
  <si>
    <t>2.</t>
  </si>
  <si>
    <t>Труд и занятость населения:</t>
  </si>
  <si>
    <t>2.1</t>
  </si>
  <si>
    <t>Среднесписочная численность работников (без внешних совместителей) по полному кругу организаций</t>
  </si>
  <si>
    <t>2.2</t>
  </si>
  <si>
    <t>Среднесписочная численность работников (без внешних совместителей) по организациям, не относящимся к субъектам малого предпринимательства</t>
  </si>
  <si>
    <t>2.3</t>
  </si>
  <si>
    <t>единиц</t>
  </si>
  <si>
    <t>2.3.1</t>
  </si>
  <si>
    <t xml:space="preserve">        постоянные</t>
  </si>
  <si>
    <t>2.3.2</t>
  </si>
  <si>
    <t xml:space="preserve">        временные</t>
  </si>
  <si>
    <t>3.</t>
  </si>
  <si>
    <t>Объем отгруженных товаров собственного производства, выполненных работ и услуг собственными силами (по крупным и средним) производителей промышленной продукции:</t>
  </si>
  <si>
    <t>млн. рублей</t>
  </si>
  <si>
    <t>3.1</t>
  </si>
  <si>
    <t>Индекс промышленного производства</t>
  </si>
  <si>
    <t>в % к предыдущему году</t>
  </si>
  <si>
    <t>3.2</t>
  </si>
  <si>
    <t xml:space="preserve">   - добыча полезных ископаемых</t>
  </si>
  <si>
    <t>3.3</t>
  </si>
  <si>
    <t>Индекс производства</t>
  </si>
  <si>
    <t>3.4</t>
  </si>
  <si>
    <t xml:space="preserve">   - обрабатывающие производства</t>
  </si>
  <si>
    <t>3.5</t>
  </si>
  <si>
    <t>3.6</t>
  </si>
  <si>
    <t xml:space="preserve">   - обеспечение электрической энергией, газом и паром; кондиционирование воздуха</t>
  </si>
  <si>
    <t>3.7</t>
  </si>
  <si>
    <t>3.8</t>
  </si>
  <si>
    <t xml:space="preserve">   - водоснабжение; водоотведение, организация сбора и утилизации отходов, деятельность по ликвидации загрязнений</t>
  </si>
  <si>
    <t>3.9</t>
  </si>
  <si>
    <t>4.</t>
  </si>
  <si>
    <t>Производство основных видов промышленной продукции:</t>
  </si>
  <si>
    <t>4.1</t>
  </si>
  <si>
    <t>Добыча нефти, включая газовый конденсат</t>
  </si>
  <si>
    <t>млн.тонн</t>
  </si>
  <si>
    <t>4.2</t>
  </si>
  <si>
    <t xml:space="preserve">Добыча газа природного и попутного     </t>
  </si>
  <si>
    <t>млрд.куб.м</t>
  </si>
  <si>
    <t>4.3</t>
  </si>
  <si>
    <t>Производство электроэнергии</t>
  </si>
  <si>
    <t>млрд.кВт. час.</t>
  </si>
  <si>
    <t>4.4</t>
  </si>
  <si>
    <t>Конструкции и детали железобетонные</t>
  </si>
  <si>
    <t>тыс.куб.м</t>
  </si>
  <si>
    <t>4.5</t>
  </si>
  <si>
    <t>Вывозка древесины</t>
  </si>
  <si>
    <t>4.6</t>
  </si>
  <si>
    <t>Производство древесины необработанной</t>
  </si>
  <si>
    <t>4.7</t>
  </si>
  <si>
    <t>Производство пиломатериалов</t>
  </si>
  <si>
    <t>4.8</t>
  </si>
  <si>
    <t>Производство блоков оконных</t>
  </si>
  <si>
    <t>тыс.кв.м</t>
  </si>
  <si>
    <t>4.9</t>
  </si>
  <si>
    <t>Производство блоков дверных</t>
  </si>
  <si>
    <t>4.10</t>
  </si>
  <si>
    <t>Производство щепы технологической</t>
  </si>
  <si>
    <t>тыс.пл.куб.м</t>
  </si>
  <si>
    <t>4.11</t>
  </si>
  <si>
    <t>Производство плиты древесноволокнистой (МДФ)</t>
  </si>
  <si>
    <t>тыс.усл.кв.м</t>
  </si>
  <si>
    <t>4.12</t>
  </si>
  <si>
    <t>Производство плиты древесностружечной (ДСП)</t>
  </si>
  <si>
    <t>усл.куб.м</t>
  </si>
  <si>
    <t>4.13</t>
  </si>
  <si>
    <t>Производство шпонированного бруса ЛВЛ</t>
  </si>
  <si>
    <t>4.14</t>
  </si>
  <si>
    <t>Производство фанеры хвойной</t>
  </si>
  <si>
    <t>4.15</t>
  </si>
  <si>
    <t>Производство деревянных домов заводского изготовления</t>
  </si>
  <si>
    <t>5.</t>
  </si>
  <si>
    <t>Объем инвестиций в основной капитал:</t>
  </si>
  <si>
    <t>млн.руб.</t>
  </si>
  <si>
    <t>х</t>
  </si>
  <si>
    <t>5.1</t>
  </si>
  <si>
    <t>Индекс физического объема</t>
  </si>
  <si>
    <t>% к предыдущему году в сопоставимых ценах</t>
  </si>
  <si>
    <t>6.</t>
  </si>
  <si>
    <t xml:space="preserve">Объем работ, выполненных по виду деятельности "Строительство": </t>
  </si>
  <si>
    <t>млн.рублей</t>
  </si>
  <si>
    <t>6.1</t>
  </si>
  <si>
    <t xml:space="preserve">% к предыдущему году </t>
  </si>
  <si>
    <t>7.</t>
  </si>
  <si>
    <t>Оборот розничной торговли:</t>
  </si>
  <si>
    <t>7.1</t>
  </si>
  <si>
    <t>8.</t>
  </si>
  <si>
    <t>Объем реализации платных услуг:</t>
  </si>
  <si>
    <t>8.1</t>
  </si>
  <si>
    <t>9.</t>
  </si>
  <si>
    <t>Производство сельскохозяйственной продукции (сельскохозяйственные организации):</t>
  </si>
  <si>
    <t>9.1</t>
  </si>
  <si>
    <t>Индекс  производства</t>
  </si>
  <si>
    <t>9.2</t>
  </si>
  <si>
    <t>скот и птица (на убой в живом весе)</t>
  </si>
  <si>
    <t>тыс.тонн</t>
  </si>
  <si>
    <t>9.3</t>
  </si>
  <si>
    <t>молоко</t>
  </si>
  <si>
    <t>9.4</t>
  </si>
  <si>
    <t>яйцо</t>
  </si>
  <si>
    <t>млн.штук</t>
  </si>
  <si>
    <t>9.5</t>
  </si>
  <si>
    <t>картофель</t>
  </si>
  <si>
    <t>9.6</t>
  </si>
  <si>
    <t>овощи</t>
  </si>
  <si>
    <t>9.7</t>
  </si>
  <si>
    <t>поголовье скота</t>
  </si>
  <si>
    <t>тыс.голов</t>
  </si>
  <si>
    <t>10.</t>
  </si>
  <si>
    <t>Производство местной  пищевой продукции:</t>
  </si>
  <si>
    <t>10.1</t>
  </si>
  <si>
    <t xml:space="preserve">хлеб и хлебобулочные изделия </t>
  </si>
  <si>
    <t>тонн</t>
  </si>
  <si>
    <t>10.2</t>
  </si>
  <si>
    <t>цельномолочная продукция (в пересчете на молоко)</t>
  </si>
  <si>
    <t>10.3</t>
  </si>
  <si>
    <t>колбасные изделия</t>
  </si>
  <si>
    <t>11.</t>
  </si>
  <si>
    <t>Инфраструктура населенных пунктов:</t>
  </si>
  <si>
    <t>11.1</t>
  </si>
  <si>
    <t xml:space="preserve">Количество населенных пунктов не обеспеченных выходом в сеть Интернет </t>
  </si>
  <si>
    <t>11.2</t>
  </si>
  <si>
    <t xml:space="preserve">Количество населенных пунктов не имеющих централизованного электроснабжения </t>
  </si>
  <si>
    <t>11.3</t>
  </si>
  <si>
    <t xml:space="preserve">Количество населенных пунктов не имеющих централизованного газоснабжения </t>
  </si>
  <si>
    <t>11.4</t>
  </si>
  <si>
    <t xml:space="preserve">Количество населенных пунктов не обеспеченных круглогодичной транспортной связью с сетью автомобильных дорог общего пользования </t>
  </si>
  <si>
    <t>12.</t>
  </si>
  <si>
    <t xml:space="preserve">Финансы: </t>
  </si>
  <si>
    <t>12.1</t>
  </si>
  <si>
    <t>Прибыль прибыльных предприятий</t>
  </si>
  <si>
    <t>12.2</t>
  </si>
  <si>
    <t>Кредиторская задолженность</t>
  </si>
  <si>
    <t>12.2.1</t>
  </si>
  <si>
    <t>в т.ч. просроченная</t>
  </si>
  <si>
    <t>12.3</t>
  </si>
  <si>
    <t>Дебиторская задолженность</t>
  </si>
  <si>
    <t>12.3.1</t>
  </si>
  <si>
    <t>13.</t>
  </si>
  <si>
    <t>13.1</t>
  </si>
  <si>
    <t>Жилые дома (общая площадь квартир)</t>
  </si>
  <si>
    <t>13.2</t>
  </si>
  <si>
    <t>Общеобразовательные школы</t>
  </si>
  <si>
    <t>уч. мест</t>
  </si>
  <si>
    <t>13.3</t>
  </si>
  <si>
    <t>Дошкольные образовательные учреждения</t>
  </si>
  <si>
    <t xml:space="preserve">мест </t>
  </si>
  <si>
    <t>13.4</t>
  </si>
  <si>
    <t>Поликлиники</t>
  </si>
  <si>
    <t>посещений в смену</t>
  </si>
  <si>
    <t>13.5</t>
  </si>
  <si>
    <t>Больницы</t>
  </si>
  <si>
    <t>койко/мест</t>
  </si>
  <si>
    <t>14.</t>
  </si>
  <si>
    <t>Жилищно- коммунальный комплекс:</t>
  </si>
  <si>
    <t>14.1</t>
  </si>
  <si>
    <t>Число организаций, оказывающих жилищно-коммунальные услуги, из них:</t>
  </si>
  <si>
    <t>14.1.1</t>
  </si>
  <si>
    <t>число организаций на рынке жилищных услуг</t>
  </si>
  <si>
    <t>14.1.2</t>
  </si>
  <si>
    <t>в т.ч. частной формы собственности</t>
  </si>
  <si>
    <t>14.2.1</t>
  </si>
  <si>
    <t>число организаций, оказывающих коммунальные услуги</t>
  </si>
  <si>
    <t>14.2.2</t>
  </si>
  <si>
    <t>14.3</t>
  </si>
  <si>
    <t>Установленный стандарт уровня платежей населения за ЖКУ</t>
  </si>
  <si>
    <t>%</t>
  </si>
  <si>
    <t>14.4</t>
  </si>
  <si>
    <t>Общая дебиторская задолженность ЖКК</t>
  </si>
  <si>
    <t>14.5</t>
  </si>
  <si>
    <t>Доля задолженности населения в общем объеме дебиторской задолженности ЖКК</t>
  </si>
  <si>
    <t>14.6</t>
  </si>
  <si>
    <t xml:space="preserve">Объем предоставленных субсидий на оплату жилого помещения и коммунальных услуг </t>
  </si>
  <si>
    <t>14.7</t>
  </si>
  <si>
    <t>Фактический уровень возмещения населением затрат за предоставление жилищно-коммунальных услуг</t>
  </si>
  <si>
    <t>14.8</t>
  </si>
  <si>
    <t>Число семей, получавших субсидии на оплату жилого помещения и коммунальных услуг (на конец отчетного периода)</t>
  </si>
  <si>
    <t>14.9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</si>
  <si>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</si>
  <si>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15.</t>
  </si>
  <si>
    <t>Уровень жизни населения:</t>
  </si>
  <si>
    <t>15.1</t>
  </si>
  <si>
    <t>Среднемесячная номинальная начисленная заработная плата одного работника по крупным и средним предприятиям</t>
  </si>
  <si>
    <t>рублей</t>
  </si>
  <si>
    <t>15.2</t>
  </si>
  <si>
    <t>Среднедушевые  денежные доходы населения</t>
  </si>
  <si>
    <t>15.3</t>
  </si>
  <si>
    <t>Потребительские расходы на душу населения</t>
  </si>
  <si>
    <t>15.4</t>
  </si>
  <si>
    <t>Реальные располагаемые денежные доходы неселения</t>
  </si>
  <si>
    <t>15.5</t>
  </si>
  <si>
    <t>Средний размер дохода пенсионера (на конец года отчетного периода)</t>
  </si>
  <si>
    <t>15.6</t>
  </si>
  <si>
    <t xml:space="preserve">Соотношение среднемесячного дохода  и прожиточного минимума пенсионера </t>
  </si>
  <si>
    <t>15.7</t>
  </si>
  <si>
    <t>Оборот розничной торговли на 1 жителя</t>
  </si>
  <si>
    <t>тыс.рублей</t>
  </si>
  <si>
    <t>15.8</t>
  </si>
  <si>
    <t>Объем реализации платных услуг на 1 жителя</t>
  </si>
  <si>
    <t>15.9</t>
  </si>
  <si>
    <t xml:space="preserve">Количество транспортных средств в собственности граждан, зарегистрированных в установленном порядке, состоящих на учете </t>
  </si>
  <si>
    <t>тыс. единиц</t>
  </si>
  <si>
    <t>16.</t>
  </si>
  <si>
    <t>Показатели развития малого и среднего предпринимательства:</t>
  </si>
  <si>
    <t>16.1</t>
  </si>
  <si>
    <t>Количество субъектов малого и среднего предпринимательства (без учета индивидуальных предпринимателей)</t>
  </si>
  <si>
    <t>16.2</t>
  </si>
  <si>
    <t>Индивидуальные предприниматели</t>
  </si>
  <si>
    <t>16.3</t>
  </si>
  <si>
    <t>Среднесписочная численность работающих на малых и средних предприятиях</t>
  </si>
  <si>
    <t>тыс. человек</t>
  </si>
  <si>
    <t>16.4</t>
  </si>
  <si>
    <t>Доля работающих на предприятиях малого и среднего предпринимательства в общей численности работающих</t>
  </si>
  <si>
    <t>16.5</t>
  </si>
  <si>
    <t>Оборот предприятий малого и среднего предпринимательства</t>
  </si>
  <si>
    <t>млрд рублей</t>
  </si>
  <si>
    <t>16.6</t>
  </si>
  <si>
    <t>Количество самозанятых граждан, зафиксировавших свой статус и применяющих специальных налоговый режим «Налог на профессиональный доход», нарастающим итогом</t>
  </si>
  <si>
    <t>в действующих ценах каждого года</t>
  </si>
  <si>
    <t xml:space="preserve">в действующих ценах каждого года </t>
  </si>
  <si>
    <t>1</t>
  </si>
  <si>
    <t>Естественный прирост (убыль) населения</t>
  </si>
  <si>
    <t>Ввод в действие жилых домов и объектов соцкультбыта:</t>
  </si>
  <si>
    <t>Динамика основных показателей социально-экономического развития
муниципального образования город Нефтеюганск
за январь-март  2024 года</t>
  </si>
  <si>
    <t>январь-март
 2022 года</t>
  </si>
  <si>
    <t>Темп роста января-марта 2022 года к январю-марту 2021 году, 
%</t>
  </si>
  <si>
    <t>январь-март
 2023 года</t>
  </si>
  <si>
    <t>январь-март
 2024 года</t>
  </si>
  <si>
    <t>Темп роста
2022 года к
2021 году,
%</t>
  </si>
  <si>
    <t>Темп роста января-марта 2023 года к январю-марту 2022 года, 
%</t>
  </si>
  <si>
    <t>Темп роста
2023 года к
2022 году, 
%</t>
  </si>
  <si>
    <t>Темп роста
января-марта
2024 года к
январю-марту 2023 года, 
%</t>
  </si>
  <si>
    <t>в 2 раза</t>
  </si>
  <si>
    <t>Вновь созданные рабочие места, в том числе</t>
  </si>
  <si>
    <t>в 2,3 раза</t>
  </si>
  <si>
    <t>в 3,5 раза</t>
  </si>
  <si>
    <t>-</t>
  </si>
  <si>
    <t>в 4,3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</si>
</sst>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0"/>
      <color theme="1"/>
      <name val="Arial Cyr"/>
    </font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0"/>
      <name val="Arial"/>
    </font>
    <font>
      <sz val="10"/>
      <name val="Times New Roman Cyr"/>
    </font>
    <font>
      <sz val="20"/>
      <name val="Times New Roman Cyr"/>
    </font>
    <font>
      <sz val="12"/>
      <name val="Times New Roman Cyr"/>
    </font>
    <font>
      <sz val="14"/>
      <name val="Times New Roman Cyr"/>
    </font>
    <font>
      <sz val="16"/>
      <name val="Times New Roman Cyr"/>
    </font>
    <font>
      <sz val="16"/>
      <color theme="0"/>
      <name val="Times New Roman Cyr"/>
    </font>
    <font>
      <sz val="10"/>
      <color theme="1"/>
      <name val="Arial Cyr"/>
    </font>
    <font>
      <sz val="12"/>
      <color theme="1"/>
      <name val="Arial Cyr"/>
    </font>
    <font>
      <sz val="14"/>
      <name val="Times New Roman"/>
      <family val="1"/>
      <charset val="204"/>
    </font>
    <font>
      <b/>
      <sz val="14"/>
      <name val="Times New Roman Cyr"/>
    </font>
    <font>
      <sz val="14"/>
      <name val="Arial Cyr"/>
    </font>
    <font>
      <sz val="14"/>
      <color indexed="2"/>
      <name val="Times New Roman Cyr"/>
    </font>
    <font>
      <b/>
      <sz val="14"/>
      <name val="Times New Roman"/>
      <family val="1"/>
      <charset val="204"/>
    </font>
    <font>
      <sz val="14"/>
      <color theme="1"/>
      <name val="Arial Cyr"/>
    </font>
    <font>
      <b/>
      <sz val="14"/>
      <color indexed="2"/>
      <name val="Times New Roman Cyr"/>
    </font>
    <font>
      <sz val="14"/>
      <color indexed="4"/>
      <name val="Times New Roman Cyr"/>
    </font>
    <font>
      <b/>
      <sz val="16"/>
      <name val="Times New Roman Cyr"/>
      <charset val="204"/>
    </font>
    <font>
      <b/>
      <sz val="18"/>
      <name val="Times New Roman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70">
    <xf numFmtId="0" fontId="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" fillId="0" borderId="0"/>
    <xf numFmtId="0" fontId="3" fillId="0" borderId="0"/>
    <xf numFmtId="0" fontId="10" fillId="0" borderId="0"/>
    <xf numFmtId="0" fontId="10" fillId="0" borderId="0"/>
  </cellStyleXfs>
  <cellXfs count="64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/>
    <xf numFmtId="0" fontId="6" fillId="0" borderId="0" xfId="0" applyFont="1" applyFill="1"/>
    <xf numFmtId="165" fontId="7" fillId="0" borderId="0" xfId="0" applyNumberFormat="1" applyFont="1" applyFill="1"/>
    <xf numFmtId="164" fontId="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/>
    <xf numFmtId="164" fontId="8" fillId="0" borderId="0" xfId="0" applyNumberFormat="1" applyFont="1" applyFill="1"/>
    <xf numFmtId="0" fontId="7" fillId="0" borderId="2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7" fillId="0" borderId="0" xfId="0" applyFont="1" applyFill="1"/>
    <xf numFmtId="0" fontId="18" fillId="0" borderId="0" xfId="0" applyFont="1" applyFill="1"/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/>
    </xf>
    <xf numFmtId="49" fontId="13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20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4" fontId="14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7" fillId="0" borderId="4" xfId="0" applyNumberFormat="1" applyFont="1" applyFill="1" applyBorder="1" applyAlignment="1" applyProtection="1">
      <alignment horizontal="center" vertical="center"/>
      <protection hidden="1"/>
    </xf>
    <xf numFmtId="4" fontId="15" fillId="0" borderId="4" xfId="0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7" fillId="0" borderId="2" xfId="0" applyNumberFormat="1" applyFont="1" applyFill="1" applyBorder="1" applyAlignment="1" applyProtection="1">
      <alignment horizontal="center" vertical="center"/>
      <protection locked="0" hidden="1"/>
    </xf>
    <xf numFmtId="4" fontId="1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1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2" xfId="0" applyNumberFormat="1" applyFont="1" applyFill="1" applyBorder="1" applyAlignment="1" applyProtection="1">
      <alignment horizontal="center" vertical="center"/>
      <protection locked="0" hidden="1"/>
    </xf>
    <xf numFmtId="4" fontId="7" fillId="0" borderId="9" xfId="0" applyNumberFormat="1" applyFont="1" applyFill="1" applyBorder="1" applyAlignment="1" applyProtection="1">
      <alignment horizontal="center" vertical="center"/>
      <protection locked="0" hidden="1"/>
    </xf>
    <xf numFmtId="4" fontId="5" fillId="0" borderId="0" xfId="0" applyNumberFormat="1" applyFont="1" applyFill="1" applyAlignment="1" applyProtection="1">
      <alignment horizontal="center" vertical="center"/>
      <protection locked="0" hidden="1"/>
    </xf>
    <xf numFmtId="4" fontId="5" fillId="0" borderId="3" xfId="0" applyNumberFormat="1" applyFont="1" applyFill="1" applyBorder="1" applyAlignment="1" applyProtection="1">
      <alignment horizontal="center" vertical="center"/>
      <protection locked="0" hidden="1"/>
    </xf>
    <xf numFmtId="4" fontId="7" fillId="0" borderId="8" xfId="0" applyNumberFormat="1" applyFont="1" applyFill="1" applyBorder="1" applyAlignment="1" applyProtection="1">
      <alignment horizontal="center" vertical="center"/>
      <protection locked="0" hidden="1"/>
    </xf>
    <xf numFmtId="4" fontId="4" fillId="0" borderId="0" xfId="0" applyNumberFormat="1" applyFont="1" applyFill="1" applyProtection="1">
      <protection locked="0" hidden="1"/>
    </xf>
    <xf numFmtId="4" fontId="4" fillId="0" borderId="3" xfId="0" applyNumberFormat="1" applyFont="1" applyFill="1" applyBorder="1" applyProtection="1">
      <protection locked="0" hidden="1"/>
    </xf>
    <xf numFmtId="4" fontId="15" fillId="0" borderId="8" xfId="0" applyNumberFormat="1" applyFont="1" applyFill="1" applyBorder="1" applyAlignment="1" applyProtection="1">
      <alignment horizontal="center" vertical="center"/>
      <protection locked="0" hidden="1"/>
    </xf>
    <xf numFmtId="4" fontId="7" fillId="0" borderId="4" xfId="0" applyNumberFormat="1" applyFont="1" applyFill="1" applyBorder="1" applyAlignment="1" applyProtection="1">
      <alignment horizontal="center" vertical="center"/>
      <protection locked="0" hidden="1"/>
    </xf>
  </cellXfs>
  <cellStyles count="70">
    <cellStyle name="Гиперссылка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10" xfId="13"/>
    <cellStyle name="Обычный 2 11" xfId="14"/>
    <cellStyle name="Обычный 2 12" xfId="15"/>
    <cellStyle name="Обычный 2 13" xfId="16"/>
    <cellStyle name="Обычный 2 14" xfId="17"/>
    <cellStyle name="Обычный 2 15" xfId="18"/>
    <cellStyle name="Обычный 2 16" xfId="19"/>
    <cellStyle name="Обычный 2 17" xfId="20"/>
    <cellStyle name="Обычный 2 18" xfId="21"/>
    <cellStyle name="Обычный 2 19" xfId="22"/>
    <cellStyle name="Обычный 2 2" xfId="23"/>
    <cellStyle name="Обычный 2 20" xfId="24"/>
    <cellStyle name="Обычный 2 21" xfId="25"/>
    <cellStyle name="Обычный 2 22" xfId="26"/>
    <cellStyle name="Обычный 2 23" xfId="27"/>
    <cellStyle name="Обычный 2 24" xfId="28"/>
    <cellStyle name="Обычный 2 25" xfId="29"/>
    <cellStyle name="Обычный 2 26" xfId="30"/>
    <cellStyle name="Обычный 2 27" xfId="31"/>
    <cellStyle name="Обычный 2 28" xfId="32"/>
    <cellStyle name="Обычный 2 29" xfId="33"/>
    <cellStyle name="Обычный 2 3" xfId="34"/>
    <cellStyle name="Обычный 2 30" xfId="35"/>
    <cellStyle name="Обычный 2 4" xfId="36"/>
    <cellStyle name="Обычный 2 5" xfId="37"/>
    <cellStyle name="Обычный 2 6" xfId="38"/>
    <cellStyle name="Обычный 2 7" xfId="39"/>
    <cellStyle name="Обычный 2 8" xfId="40"/>
    <cellStyle name="Обычный 2 9" xfId="41"/>
    <cellStyle name="Обычный 2_диаграммы к уточн. прогн." xfId="42"/>
    <cellStyle name="Обычный 20" xfId="43"/>
    <cellStyle name="Обычный 21" xfId="44"/>
    <cellStyle name="Обычный 22" xfId="45"/>
    <cellStyle name="Обычный 23" xfId="46"/>
    <cellStyle name="Обычный 24" xfId="47"/>
    <cellStyle name="Обычный 25" xfId="48"/>
    <cellStyle name="Обычный 26" xfId="49"/>
    <cellStyle name="Обычный 27" xfId="50"/>
    <cellStyle name="Обычный 28" xfId="51"/>
    <cellStyle name="Обычный 29" xfId="52"/>
    <cellStyle name="Обычный 3" xfId="53"/>
    <cellStyle name="Обычный 3 2" xfId="54"/>
    <cellStyle name="Обычный 30" xfId="55"/>
    <cellStyle name="Обычный 31" xfId="56"/>
    <cellStyle name="Обычный 32" xfId="57"/>
    <cellStyle name="Обычный 33" xfId="58"/>
    <cellStyle name="Обычный 34" xfId="59"/>
    <cellStyle name="Обычный 35" xfId="60"/>
    <cellStyle name="Обычный 36" xfId="61"/>
    <cellStyle name="Обычный 37" xfId="62"/>
    <cellStyle name="Обычный 38" xfId="63"/>
    <cellStyle name="Обычный 4" xfId="64"/>
    <cellStyle name="Обычный 4 2" xfId="65"/>
    <cellStyle name="Обычный 5" xfId="66"/>
    <cellStyle name="Обычный 6" xfId="67"/>
    <cellStyle name="Обычный 7" xfId="68"/>
    <cellStyle name="Обычный 8" xfId="69"/>
  </cellStyles>
  <dxfs count="0"/>
  <tableStyles count="0" defaultTableStyle="TableStyleMedium2" defaultPivotStyle="PivotStyleLight16"/>
  <colors>
    <mruColors>
      <color rgb="FFFFCCFF"/>
      <color rgb="FFCCFF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4"/>
  <sheetViews>
    <sheetView tabSelected="1" view="pageBreakPreview" zoomScale="55" zoomScaleNormal="55" zoomScaleSheetLayoutView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ColWidth="34.28515625" defaultRowHeight="26.25" customHeight="1" x14ac:dyDescent="0.2"/>
  <cols>
    <col min="1" max="1" width="11.5703125" style="1" customWidth="1"/>
    <col min="2" max="2" width="76" style="2" customWidth="1"/>
    <col min="3" max="3" width="23.28515625" style="1" customWidth="1"/>
    <col min="4" max="5" width="20.140625" style="1" customWidth="1"/>
    <col min="6" max="6" width="17.140625" style="34" customWidth="1"/>
    <col min="7" max="7" width="18.7109375" style="34" customWidth="1"/>
    <col min="8" max="8" width="19.85546875" style="34" customWidth="1"/>
    <col min="9" max="9" width="20.140625" style="34" customWidth="1"/>
    <col min="10" max="11" width="18.28515625" style="2" customWidth="1"/>
    <col min="12" max="12" width="19.42578125" style="2" customWidth="1"/>
    <col min="13" max="13" width="20.28515625" style="2" customWidth="1"/>
    <col min="14" max="257" width="34.28515625" style="2"/>
    <col min="258" max="16384" width="34.28515625" style="3"/>
  </cols>
  <sheetData>
    <row r="1" spans="1:257" s="22" customFormat="1" ht="51.75" customHeight="1" x14ac:dyDescent="0.3">
      <c r="A1" s="20"/>
      <c r="B1" s="23"/>
      <c r="C1" s="24"/>
      <c r="D1" s="24"/>
      <c r="E1" s="24"/>
      <c r="F1" s="18"/>
      <c r="G1" s="18"/>
      <c r="H1" s="18"/>
      <c r="I1" s="18"/>
      <c r="J1" s="19"/>
      <c r="K1" s="44"/>
      <c r="L1" s="44"/>
      <c r="M1" s="44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  <c r="IW1" s="19"/>
    </row>
    <row r="2" spans="1:257" s="19" customFormat="1" ht="18.75" x14ac:dyDescent="0.3">
      <c r="A2" s="20"/>
      <c r="B2" s="36"/>
      <c r="C2" s="37"/>
      <c r="D2" s="31"/>
      <c r="E2" s="31"/>
      <c r="F2" s="18"/>
      <c r="G2" s="18"/>
      <c r="H2" s="18"/>
      <c r="I2" s="18"/>
    </row>
    <row r="3" spans="1:257" s="19" customFormat="1" ht="18.75" x14ac:dyDescent="0.3">
      <c r="A3" s="20"/>
      <c r="B3" s="25"/>
      <c r="C3" s="31"/>
      <c r="D3" s="31"/>
      <c r="E3" s="31"/>
      <c r="F3" s="18"/>
      <c r="G3" s="18"/>
      <c r="H3" s="18"/>
      <c r="I3" s="18"/>
    </row>
    <row r="4" spans="1:257" s="4" customFormat="1" ht="98.25" customHeight="1" x14ac:dyDescent="0.25">
      <c r="A4" s="38" t="s">
        <v>237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257" s="22" customFormat="1" ht="18.75" x14ac:dyDescent="0.3">
      <c r="A5" s="20"/>
      <c r="B5" s="21"/>
      <c r="C5" s="18"/>
      <c r="D5" s="18"/>
      <c r="E5" s="18"/>
      <c r="F5" s="18"/>
      <c r="G5" s="18"/>
      <c r="H5" s="18"/>
      <c r="I5" s="18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</row>
    <row r="6" spans="1:257" ht="178.5" customHeight="1" x14ac:dyDescent="0.2">
      <c r="A6" s="26" t="s">
        <v>0</v>
      </c>
      <c r="B6" s="17" t="s">
        <v>1</v>
      </c>
      <c r="C6" s="17" t="s">
        <v>2</v>
      </c>
      <c r="D6" s="17" t="s">
        <v>238</v>
      </c>
      <c r="E6" s="17" t="s">
        <v>239</v>
      </c>
      <c r="F6" s="32" t="s">
        <v>3</v>
      </c>
      <c r="G6" s="32" t="s">
        <v>242</v>
      </c>
      <c r="H6" s="17" t="s">
        <v>240</v>
      </c>
      <c r="I6" s="17" t="s">
        <v>243</v>
      </c>
      <c r="J6" s="32" t="s">
        <v>4</v>
      </c>
      <c r="K6" s="32" t="s">
        <v>244</v>
      </c>
      <c r="L6" s="17" t="s">
        <v>241</v>
      </c>
      <c r="M6" s="17" t="s">
        <v>245</v>
      </c>
    </row>
    <row r="7" spans="1:257" s="10" customFormat="1" ht="18.75" x14ac:dyDescent="0.25">
      <c r="A7" s="27" t="s">
        <v>234</v>
      </c>
      <c r="B7" s="11">
        <v>2</v>
      </c>
      <c r="C7" s="11">
        <v>3</v>
      </c>
      <c r="D7" s="11">
        <v>4</v>
      </c>
      <c r="E7" s="11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33">
        <v>12</v>
      </c>
      <c r="M7" s="33">
        <v>13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</row>
    <row r="8" spans="1:257" ht="24" customHeight="1" x14ac:dyDescent="0.2">
      <c r="A8" s="28" t="s">
        <v>5</v>
      </c>
      <c r="B8" s="39" t="s">
        <v>6</v>
      </c>
      <c r="C8" s="40"/>
      <c r="D8" s="47"/>
      <c r="E8" s="47"/>
      <c r="F8" s="48"/>
      <c r="G8" s="48"/>
      <c r="H8" s="48"/>
      <c r="I8" s="48"/>
      <c r="J8" s="49"/>
      <c r="K8" s="49"/>
      <c r="L8" s="49"/>
      <c r="M8" s="49"/>
    </row>
    <row r="9" spans="1:257" ht="22.5" customHeight="1" x14ac:dyDescent="0.2">
      <c r="A9" s="29" t="s">
        <v>7</v>
      </c>
      <c r="B9" s="12" t="s">
        <v>8</v>
      </c>
      <c r="C9" s="9" t="s">
        <v>9</v>
      </c>
      <c r="D9" s="51">
        <v>124.581</v>
      </c>
      <c r="E9" s="51">
        <v>96.84</v>
      </c>
      <c r="F9" s="52">
        <v>124.756</v>
      </c>
      <c r="G9" s="52">
        <f>F9/128.42*100</f>
        <v>97.146861859523455</v>
      </c>
      <c r="H9" s="52">
        <v>125.063</v>
      </c>
      <c r="I9" s="52">
        <f>H9/D9*100</f>
        <v>100.38689687833617</v>
      </c>
      <c r="J9" s="52">
        <v>125.84</v>
      </c>
      <c r="K9" s="52">
        <f>J9/F9*100</f>
        <v>100.86889608515823</v>
      </c>
      <c r="L9" s="52">
        <v>125.48399999999999</v>
      </c>
      <c r="M9" s="52">
        <f>L9/H9*100</f>
        <v>100.33663033830949</v>
      </c>
    </row>
    <row r="10" spans="1:257" ht="21.75" customHeight="1" x14ac:dyDescent="0.2">
      <c r="A10" s="29" t="s">
        <v>10</v>
      </c>
      <c r="B10" s="13" t="s">
        <v>235</v>
      </c>
      <c r="C10" s="9" t="s">
        <v>11</v>
      </c>
      <c r="D10" s="51">
        <v>76</v>
      </c>
      <c r="E10" s="51">
        <f>D10/61*100</f>
        <v>124.59016393442623</v>
      </c>
      <c r="F10" s="52">
        <v>514</v>
      </c>
      <c r="G10" s="52" t="s">
        <v>246</v>
      </c>
      <c r="H10" s="52">
        <v>74</v>
      </c>
      <c r="I10" s="52">
        <f>H10/D10*100</f>
        <v>97.368421052631575</v>
      </c>
      <c r="J10" s="52">
        <v>458</v>
      </c>
      <c r="K10" s="52">
        <f t="shared" ref="K10:K67" si="0">J10/F10*100</f>
        <v>89.105058365758765</v>
      </c>
      <c r="L10" s="52">
        <v>74</v>
      </c>
      <c r="M10" s="52">
        <f>L10/H10*100</f>
        <v>100</v>
      </c>
    </row>
    <row r="11" spans="1:257" ht="18.75" customHeight="1" x14ac:dyDescent="0.2">
      <c r="A11" s="29" t="s">
        <v>12</v>
      </c>
      <c r="B11" s="13" t="s">
        <v>13</v>
      </c>
      <c r="C11" s="9" t="s">
        <v>11</v>
      </c>
      <c r="D11" s="51" t="s">
        <v>88</v>
      </c>
      <c r="E11" s="51" t="s">
        <v>88</v>
      </c>
      <c r="F11" s="52">
        <v>-120</v>
      </c>
      <c r="G11" s="52">
        <f>F11/279*100</f>
        <v>-43.01075268817204</v>
      </c>
      <c r="H11" s="52" t="s">
        <v>88</v>
      </c>
      <c r="I11" s="52" t="s">
        <v>88</v>
      </c>
      <c r="J11" s="52">
        <v>-44</v>
      </c>
      <c r="K11" s="52">
        <f t="shared" si="0"/>
        <v>36.666666666666664</v>
      </c>
      <c r="L11" s="52" t="s">
        <v>88</v>
      </c>
      <c r="M11" s="52" t="s">
        <v>88</v>
      </c>
    </row>
    <row r="12" spans="1:257" ht="18.75" x14ac:dyDescent="0.2">
      <c r="A12" s="30" t="s">
        <v>14</v>
      </c>
      <c r="B12" s="41" t="s">
        <v>15</v>
      </c>
      <c r="C12" s="42"/>
      <c r="D12" s="53"/>
      <c r="E12" s="53"/>
      <c r="F12" s="52"/>
      <c r="G12" s="52"/>
      <c r="H12" s="52"/>
      <c r="I12" s="52"/>
      <c r="J12" s="52"/>
      <c r="K12" s="52"/>
      <c r="L12" s="52"/>
      <c r="M12" s="52"/>
    </row>
    <row r="13" spans="1:257" ht="53.25" customHeight="1" x14ac:dyDescent="0.2">
      <c r="A13" s="29" t="s">
        <v>16</v>
      </c>
      <c r="B13" s="12" t="s">
        <v>17</v>
      </c>
      <c r="C13" s="14" t="s">
        <v>9</v>
      </c>
      <c r="D13" s="50">
        <v>50.67</v>
      </c>
      <c r="E13" s="50">
        <f>D13/50.56*100</f>
        <v>100.21756329113924</v>
      </c>
      <c r="F13" s="52">
        <v>50.85</v>
      </c>
      <c r="G13" s="52">
        <f>F13/50.8*100</f>
        <v>100.0984251968504</v>
      </c>
      <c r="H13" s="52">
        <v>50.71</v>
      </c>
      <c r="I13" s="52">
        <f>H13/D13*100</f>
        <v>100.07894217485691</v>
      </c>
      <c r="J13" s="52">
        <v>50.914000000000001</v>
      </c>
      <c r="K13" s="52">
        <f t="shared" si="0"/>
        <v>100.125860373648</v>
      </c>
      <c r="L13" s="52">
        <v>50.968000000000004</v>
      </c>
      <c r="M13" s="52">
        <f>L13/H13*100</f>
        <v>100.50877538946953</v>
      </c>
    </row>
    <row r="14" spans="1:257" ht="56.25" x14ac:dyDescent="0.2">
      <c r="A14" s="29" t="s">
        <v>18</v>
      </c>
      <c r="B14" s="12" t="s">
        <v>19</v>
      </c>
      <c r="C14" s="14" t="s">
        <v>9</v>
      </c>
      <c r="D14" s="50">
        <v>43.478999999999999</v>
      </c>
      <c r="E14" s="50">
        <f>D14/42.19*100</f>
        <v>103.05522635695664</v>
      </c>
      <c r="F14" s="52">
        <v>43.173000000000002</v>
      </c>
      <c r="G14" s="52">
        <f>F14/42.85*100</f>
        <v>100.75379229871646</v>
      </c>
      <c r="H14" s="52">
        <v>42.715000000000003</v>
      </c>
      <c r="I14" s="52">
        <f>H14/D14*100</f>
        <v>98.242829871892184</v>
      </c>
      <c r="J14" s="52">
        <v>42.715000000000003</v>
      </c>
      <c r="K14" s="52">
        <f t="shared" si="0"/>
        <v>98.939151784680249</v>
      </c>
      <c r="L14" s="52">
        <v>42.7</v>
      </c>
      <c r="M14" s="52">
        <f>L14/H14*100</f>
        <v>99.964883530375744</v>
      </c>
    </row>
    <row r="15" spans="1:257" ht="21.75" customHeight="1" x14ac:dyDescent="0.2">
      <c r="A15" s="29" t="s">
        <v>20</v>
      </c>
      <c r="B15" s="12" t="s">
        <v>247</v>
      </c>
      <c r="C15" s="14" t="s">
        <v>21</v>
      </c>
      <c r="D15" s="50">
        <v>183</v>
      </c>
      <c r="E15" s="50">
        <v>100</v>
      </c>
      <c r="F15" s="52">
        <v>1255</v>
      </c>
      <c r="G15" s="52">
        <f>F15/1397*100</f>
        <v>89.835361488904795</v>
      </c>
      <c r="H15" s="52">
        <v>233</v>
      </c>
      <c r="I15" s="52">
        <f>H15/D15*100</f>
        <v>127.32240437158471</v>
      </c>
      <c r="J15" s="52">
        <v>1298</v>
      </c>
      <c r="K15" s="52">
        <f t="shared" si="0"/>
        <v>103.42629482071712</v>
      </c>
      <c r="L15" s="52">
        <v>249</v>
      </c>
      <c r="M15" s="52">
        <f>L15/H15*100</f>
        <v>106.86695278969958</v>
      </c>
    </row>
    <row r="16" spans="1:257" ht="23.25" customHeight="1" x14ac:dyDescent="0.2">
      <c r="A16" s="29" t="s">
        <v>22</v>
      </c>
      <c r="B16" s="12" t="s">
        <v>23</v>
      </c>
      <c r="C16" s="14"/>
      <c r="D16" s="50">
        <v>4</v>
      </c>
      <c r="E16" s="50">
        <v>100</v>
      </c>
      <c r="F16" s="52">
        <v>14</v>
      </c>
      <c r="G16" s="52">
        <f>F16/14*100</f>
        <v>100</v>
      </c>
      <c r="H16" s="52">
        <v>4</v>
      </c>
      <c r="I16" s="52">
        <f>H16/D16*100</f>
        <v>100</v>
      </c>
      <c r="J16" s="52">
        <v>13</v>
      </c>
      <c r="K16" s="52">
        <f t="shared" si="0"/>
        <v>92.857142857142861</v>
      </c>
      <c r="L16" s="52">
        <v>5</v>
      </c>
      <c r="M16" s="52">
        <f>L16/H16*100</f>
        <v>125</v>
      </c>
    </row>
    <row r="17" spans="1:16" ht="23.25" customHeight="1" x14ac:dyDescent="0.2">
      <c r="A17" s="29" t="s">
        <v>24</v>
      </c>
      <c r="B17" s="12" t="s">
        <v>25</v>
      </c>
      <c r="C17" s="14"/>
      <c r="D17" s="50">
        <v>179</v>
      </c>
      <c r="E17" s="50">
        <v>67.040000000000006</v>
      </c>
      <c r="F17" s="52">
        <v>1241</v>
      </c>
      <c r="G17" s="52">
        <f>F17/1383*100</f>
        <v>89.73246565437455</v>
      </c>
      <c r="H17" s="52">
        <v>229</v>
      </c>
      <c r="I17" s="52">
        <f>H17/D17*100</f>
        <v>127.93296089385476</v>
      </c>
      <c r="J17" s="52">
        <v>1285</v>
      </c>
      <c r="K17" s="52">
        <f t="shared" si="0"/>
        <v>103.54552780016115</v>
      </c>
      <c r="L17" s="52">
        <v>244</v>
      </c>
      <c r="M17" s="52">
        <f>L17/H17*100</f>
        <v>106.55021834061135</v>
      </c>
    </row>
    <row r="18" spans="1:16" ht="72.75" customHeight="1" x14ac:dyDescent="0.2">
      <c r="A18" s="30" t="s">
        <v>26</v>
      </c>
      <c r="B18" s="41" t="s">
        <v>27</v>
      </c>
      <c r="C18" s="41"/>
      <c r="D18" s="54"/>
      <c r="E18" s="54"/>
      <c r="F18" s="52"/>
      <c r="G18" s="52"/>
      <c r="H18" s="52"/>
      <c r="I18" s="52"/>
      <c r="J18" s="55"/>
      <c r="K18" s="52"/>
      <c r="L18" s="55"/>
      <c r="M18" s="55"/>
    </row>
    <row r="19" spans="1:16" ht="23.25" customHeight="1" x14ac:dyDescent="0.3">
      <c r="A19" s="29"/>
      <c r="B19" s="13" t="s">
        <v>232</v>
      </c>
      <c r="C19" s="9" t="s">
        <v>28</v>
      </c>
      <c r="D19" s="51">
        <f>D21+D23+D25+D27</f>
        <v>33383.56</v>
      </c>
      <c r="E19" s="51">
        <f>D19/23862.78*100</f>
        <v>139.89803367419887</v>
      </c>
      <c r="F19" s="50">
        <f>F21+F23+F25+F27</f>
        <v>133371.6</v>
      </c>
      <c r="G19" s="52">
        <f>F19/116800.26*100</f>
        <v>114.18775951354905</v>
      </c>
      <c r="H19" s="52">
        <f>H21+H23+H25+H27</f>
        <v>30563.462</v>
      </c>
      <c r="I19" s="52">
        <f>H19/D19*100</f>
        <v>91.552434791256545</v>
      </c>
      <c r="J19" s="50">
        <f>J21+J23+J25+J27</f>
        <v>150930.40000000002</v>
      </c>
      <c r="K19" s="52">
        <f t="shared" si="0"/>
        <v>113.16532155271439</v>
      </c>
      <c r="L19" s="52">
        <f>L21+L23+L25+L27</f>
        <v>33127.96</v>
      </c>
      <c r="M19" s="52">
        <f>L19/H19*100</f>
        <v>108.39073139031174</v>
      </c>
      <c r="P19" s="5"/>
    </row>
    <row r="20" spans="1:16" ht="79.5" customHeight="1" x14ac:dyDescent="0.2">
      <c r="A20" s="29" t="s">
        <v>29</v>
      </c>
      <c r="B20" s="13" t="s">
        <v>30</v>
      </c>
      <c r="C20" s="9" t="s">
        <v>31</v>
      </c>
      <c r="D20" s="51">
        <f>D19/23862.78/107.4*10000</f>
        <v>130.25887679161906</v>
      </c>
      <c r="E20" s="51" t="s">
        <v>88</v>
      </c>
      <c r="F20" s="52">
        <f>F19/116800.26/107.4*10000</f>
        <v>106.32007403496186</v>
      </c>
      <c r="G20" s="52" t="s">
        <v>88</v>
      </c>
      <c r="H20" s="52">
        <f>H19/D19/102.6*10000</f>
        <v>89.232392584070709</v>
      </c>
      <c r="I20" s="52" t="s">
        <v>88</v>
      </c>
      <c r="J20" s="52">
        <f>J19/F19/102.6*10000</f>
        <v>110.29758435937076</v>
      </c>
      <c r="K20" s="52" t="s">
        <v>88</v>
      </c>
      <c r="L20" s="52">
        <f>L19/H19/108.8*10000</f>
        <v>99.623833998448291</v>
      </c>
      <c r="M20" s="52" t="s">
        <v>88</v>
      </c>
      <c r="N20" s="6"/>
    </row>
    <row r="21" spans="1:16" ht="56.25" x14ac:dyDescent="0.3">
      <c r="A21" s="29" t="s">
        <v>32</v>
      </c>
      <c r="B21" s="13" t="s">
        <v>33</v>
      </c>
      <c r="C21" s="9" t="s">
        <v>31</v>
      </c>
      <c r="D21" s="51">
        <v>24743.439999999999</v>
      </c>
      <c r="E21" s="51">
        <f>D21/16046.61*100</f>
        <v>154.19730397884661</v>
      </c>
      <c r="F21" s="50">
        <v>95904.8</v>
      </c>
      <c r="G21" s="52">
        <f>F21/82938.78*100</f>
        <v>115.63324177182255</v>
      </c>
      <c r="H21" s="52">
        <v>20190.259999999998</v>
      </c>
      <c r="I21" s="52">
        <f>H21/D21*100</f>
        <v>81.598435787424876</v>
      </c>
      <c r="J21" s="50">
        <v>107584.2</v>
      </c>
      <c r="K21" s="52">
        <f t="shared" si="0"/>
        <v>112.17811830064815</v>
      </c>
      <c r="L21" s="52">
        <v>22209.29</v>
      </c>
      <c r="M21" s="52">
        <f>L21/H21*100</f>
        <v>110.00001981153289</v>
      </c>
      <c r="N21" s="7"/>
      <c r="P21" s="5"/>
    </row>
    <row r="22" spans="1:16" ht="56.25" x14ac:dyDescent="0.3">
      <c r="A22" s="29" t="s">
        <v>34</v>
      </c>
      <c r="B22" s="13" t="s">
        <v>35</v>
      </c>
      <c r="C22" s="9" t="s">
        <v>31</v>
      </c>
      <c r="D22" s="51">
        <f>D21/16046.61/114.9*10000</f>
        <v>134.20130894590653</v>
      </c>
      <c r="E22" s="51" t="s">
        <v>88</v>
      </c>
      <c r="F22" s="50">
        <f>F21/82938.78/114.9*10000</f>
        <v>100.63815645937559</v>
      </c>
      <c r="G22" s="52" t="s">
        <v>88</v>
      </c>
      <c r="H22" s="52">
        <f>H21/D21/98.9*10000</f>
        <v>82.506001807305225</v>
      </c>
      <c r="I22" s="52" t="s">
        <v>88</v>
      </c>
      <c r="J22" s="50">
        <f>J21/F21/98.9*10000</f>
        <v>113.42580212401226</v>
      </c>
      <c r="K22" s="52" t="s">
        <v>88</v>
      </c>
      <c r="L22" s="52">
        <f>L21/H21/115.1*10000</f>
        <v>95.569087586040752</v>
      </c>
      <c r="M22" s="52" t="s">
        <v>88</v>
      </c>
      <c r="N22" s="7"/>
      <c r="P22" s="5"/>
    </row>
    <row r="23" spans="1:16" ht="23.25" customHeight="1" x14ac:dyDescent="0.3">
      <c r="A23" s="29" t="s">
        <v>36</v>
      </c>
      <c r="B23" s="13" t="s">
        <v>37</v>
      </c>
      <c r="C23" s="9" t="s">
        <v>28</v>
      </c>
      <c r="D23" s="51">
        <v>2513.71</v>
      </c>
      <c r="E23" s="51">
        <f>D23/2554.453*100</f>
        <v>98.405020566046815</v>
      </c>
      <c r="F23" s="50">
        <v>10641.8</v>
      </c>
      <c r="G23" s="52">
        <f>F23/11640.7*100</f>
        <v>91.418900925202081</v>
      </c>
      <c r="H23" s="52">
        <v>2931.3020000000001</v>
      </c>
      <c r="I23" s="52">
        <f>H23/D23*100</f>
        <v>116.61257662976239</v>
      </c>
      <c r="J23" s="50">
        <v>12798.8</v>
      </c>
      <c r="K23" s="52">
        <f t="shared" si="0"/>
        <v>120.26912740325886</v>
      </c>
      <c r="L23" s="52">
        <v>3195.12</v>
      </c>
      <c r="M23" s="52">
        <f>L23/H23*100</f>
        <v>109.00002797391738</v>
      </c>
      <c r="N23" s="7"/>
      <c r="P23" s="5"/>
    </row>
    <row r="24" spans="1:16" ht="56.25" x14ac:dyDescent="0.3">
      <c r="A24" s="29" t="s">
        <v>38</v>
      </c>
      <c r="B24" s="13" t="s">
        <v>35</v>
      </c>
      <c r="C24" s="9" t="s">
        <v>31</v>
      </c>
      <c r="D24" s="51">
        <f>D23/2554.453/105.3*10000</f>
        <v>93.452061316283789</v>
      </c>
      <c r="E24" s="51" t="s">
        <v>88</v>
      </c>
      <c r="F24" s="50">
        <f>F23/11640.7/105.3*10000</f>
        <v>86.817569729536643</v>
      </c>
      <c r="G24" s="52" t="s">
        <v>88</v>
      </c>
      <c r="H24" s="52">
        <f>H23/D23/103*10000</f>
        <v>113.2160938153033</v>
      </c>
      <c r="I24" s="52" t="s">
        <v>88</v>
      </c>
      <c r="J24" s="50">
        <f>J23/F23/103*10000</f>
        <v>116.76614310996005</v>
      </c>
      <c r="K24" s="52" t="s">
        <v>88</v>
      </c>
      <c r="L24" s="52">
        <f>L23/H23/106.6*10000</f>
        <v>102.25143337140469</v>
      </c>
      <c r="M24" s="52" t="s">
        <v>88</v>
      </c>
      <c r="N24" s="7"/>
      <c r="P24" s="5"/>
    </row>
    <row r="25" spans="1:16" ht="37.5" x14ac:dyDescent="0.3">
      <c r="A25" s="29" t="s">
        <v>39</v>
      </c>
      <c r="B25" s="13" t="s">
        <v>40</v>
      </c>
      <c r="C25" s="9" t="s">
        <v>28</v>
      </c>
      <c r="D25" s="51">
        <v>4061.19</v>
      </c>
      <c r="E25" s="51">
        <f>D25/3737.049*100</f>
        <v>108.67371554400277</v>
      </c>
      <c r="F25" s="50">
        <v>16372.7</v>
      </c>
      <c r="G25" s="52">
        <f>F25/14571.57*100</f>
        <v>112.36057610813386</v>
      </c>
      <c r="H25" s="52">
        <v>5156.8429999999998</v>
      </c>
      <c r="I25" s="52">
        <f>H25/D25*100</f>
        <v>126.97861956717121</v>
      </c>
      <c r="J25" s="50">
        <v>19792.2</v>
      </c>
      <c r="K25" s="52">
        <f t="shared" si="0"/>
        <v>120.8853762665901</v>
      </c>
      <c r="L25" s="52">
        <v>5183.57</v>
      </c>
      <c r="M25" s="52">
        <f>L25/H25*100</f>
        <v>100.51828221258627</v>
      </c>
      <c r="N25" s="7"/>
      <c r="P25" s="5"/>
    </row>
    <row r="26" spans="1:16" ht="56.25" x14ac:dyDescent="0.3">
      <c r="A26" s="29" t="s">
        <v>41</v>
      </c>
      <c r="B26" s="13" t="s">
        <v>35</v>
      </c>
      <c r="C26" s="9" t="s">
        <v>31</v>
      </c>
      <c r="D26" s="51">
        <f>D25/3737.049/103.9*10000</f>
        <v>104.5945289162683</v>
      </c>
      <c r="E26" s="51" t="s">
        <v>88</v>
      </c>
      <c r="F26" s="50">
        <f>F25/14571.57/103.9*10000</f>
        <v>108.14299914161103</v>
      </c>
      <c r="G26" s="52" t="s">
        <v>88</v>
      </c>
      <c r="H26" s="52">
        <f>H25/D25/111.4*10000</f>
        <v>113.98439817519855</v>
      </c>
      <c r="I26" s="52" t="s">
        <v>88</v>
      </c>
      <c r="J26" s="50">
        <f>J25/F25/111.4*10000</f>
        <v>108.5147004188421</v>
      </c>
      <c r="K26" s="52" t="s">
        <v>88</v>
      </c>
      <c r="L26" s="52">
        <f>L25/H25/105.3*10000</f>
        <v>95.458957466843572</v>
      </c>
      <c r="M26" s="52"/>
      <c r="N26" s="7"/>
      <c r="P26" s="5"/>
    </row>
    <row r="27" spans="1:16" ht="56.25" x14ac:dyDescent="0.3">
      <c r="A27" s="29" t="s">
        <v>42</v>
      </c>
      <c r="B27" s="13" t="s">
        <v>43</v>
      </c>
      <c r="C27" s="9" t="s">
        <v>28</v>
      </c>
      <c r="D27" s="51">
        <v>2065.2199999999998</v>
      </c>
      <c r="E27" s="51">
        <f>D27/1524.67*100</f>
        <v>135.45357356018022</v>
      </c>
      <c r="F27" s="50">
        <v>10452.299999999999</v>
      </c>
      <c r="G27" s="52">
        <f>F27/7649.13*100</f>
        <v>136.64691278615999</v>
      </c>
      <c r="H27" s="52">
        <v>2285.0569999999998</v>
      </c>
      <c r="I27" s="52">
        <f>H27/D27*100</f>
        <v>110.64472550139936</v>
      </c>
      <c r="J27" s="50">
        <v>10755.2</v>
      </c>
      <c r="K27" s="52">
        <f t="shared" si="0"/>
        <v>102.89792677209802</v>
      </c>
      <c r="L27" s="52">
        <v>2539.98</v>
      </c>
      <c r="M27" s="52">
        <f>L27/H27*100</f>
        <v>111.15608932293594</v>
      </c>
      <c r="N27" s="7"/>
      <c r="P27" s="5"/>
    </row>
    <row r="28" spans="1:16" ht="56.25" x14ac:dyDescent="0.3">
      <c r="A28" s="29" t="s">
        <v>44</v>
      </c>
      <c r="B28" s="13" t="s">
        <v>35</v>
      </c>
      <c r="C28" s="9" t="s">
        <v>31</v>
      </c>
      <c r="D28" s="51">
        <f>D27/1524.67/101.9*10000</f>
        <v>132.92794264983337</v>
      </c>
      <c r="E28" s="51" t="s">
        <v>88</v>
      </c>
      <c r="F28" s="50">
        <f>F27/7649.13/101.9*10000</f>
        <v>134.0990311934838</v>
      </c>
      <c r="G28" s="52" t="s">
        <v>88</v>
      </c>
      <c r="H28" s="52">
        <f>H27/D27/108.4*10000</f>
        <v>102.07077998284073</v>
      </c>
      <c r="I28" s="52" t="s">
        <v>88</v>
      </c>
      <c r="J28" s="50">
        <f>J27/F27/108.4*10000</f>
        <v>94.924286690127317</v>
      </c>
      <c r="K28" s="52" t="s">
        <v>88</v>
      </c>
      <c r="L28" s="52">
        <f>L27/H27/104.3*10000</f>
        <v>106.57343175736908</v>
      </c>
      <c r="M28" s="52" t="s">
        <v>88</v>
      </c>
      <c r="N28" s="8"/>
    </row>
    <row r="29" spans="1:16" ht="23.25" customHeight="1" x14ac:dyDescent="0.2">
      <c r="A29" s="30" t="s">
        <v>45</v>
      </c>
      <c r="B29" s="41" t="s">
        <v>46</v>
      </c>
      <c r="C29" s="42"/>
      <c r="D29" s="53"/>
      <c r="E29" s="51"/>
      <c r="F29" s="52"/>
      <c r="G29" s="52"/>
      <c r="H29" s="52"/>
      <c r="I29" s="52"/>
      <c r="J29" s="55"/>
      <c r="K29" s="52"/>
      <c r="L29" s="55"/>
      <c r="M29" s="55"/>
    </row>
    <row r="30" spans="1:16" ht="23.25" customHeight="1" x14ac:dyDescent="0.2">
      <c r="A30" s="29" t="s">
        <v>47</v>
      </c>
      <c r="B30" s="13" t="s">
        <v>48</v>
      </c>
      <c r="C30" s="9" t="s">
        <v>49</v>
      </c>
      <c r="D30" s="51" t="s">
        <v>250</v>
      </c>
      <c r="E30" s="51" t="s">
        <v>88</v>
      </c>
      <c r="F30" s="52" t="s">
        <v>250</v>
      </c>
      <c r="G30" s="52" t="s">
        <v>88</v>
      </c>
      <c r="H30" s="52" t="s">
        <v>250</v>
      </c>
      <c r="I30" s="52" t="s">
        <v>88</v>
      </c>
      <c r="J30" s="52" t="s">
        <v>250</v>
      </c>
      <c r="K30" s="52" t="s">
        <v>88</v>
      </c>
      <c r="L30" s="52" t="s">
        <v>250</v>
      </c>
      <c r="M30" s="52" t="s">
        <v>88</v>
      </c>
    </row>
    <row r="31" spans="1:16" ht="23.25" customHeight="1" x14ac:dyDescent="0.2">
      <c r="A31" s="29" t="s">
        <v>50</v>
      </c>
      <c r="B31" s="13" t="s">
        <v>51</v>
      </c>
      <c r="C31" s="9" t="s">
        <v>52</v>
      </c>
      <c r="D31" s="51" t="s">
        <v>250</v>
      </c>
      <c r="E31" s="51" t="s">
        <v>88</v>
      </c>
      <c r="F31" s="52" t="s">
        <v>250</v>
      </c>
      <c r="G31" s="52" t="s">
        <v>88</v>
      </c>
      <c r="H31" s="52" t="s">
        <v>250</v>
      </c>
      <c r="I31" s="52" t="s">
        <v>88</v>
      </c>
      <c r="J31" s="52" t="s">
        <v>250</v>
      </c>
      <c r="K31" s="52" t="s">
        <v>88</v>
      </c>
      <c r="L31" s="52" t="s">
        <v>250</v>
      </c>
      <c r="M31" s="52" t="s">
        <v>88</v>
      </c>
    </row>
    <row r="32" spans="1:16" ht="23.25" customHeight="1" x14ac:dyDescent="0.2">
      <c r="A32" s="29" t="s">
        <v>53</v>
      </c>
      <c r="B32" s="13" t="s">
        <v>54</v>
      </c>
      <c r="C32" s="9" t="s">
        <v>55</v>
      </c>
      <c r="D32" s="51" t="s">
        <v>250</v>
      </c>
      <c r="E32" s="51" t="s">
        <v>88</v>
      </c>
      <c r="F32" s="52">
        <v>0.14699999999999999</v>
      </c>
      <c r="G32" s="52" t="s">
        <v>88</v>
      </c>
      <c r="H32" s="52" t="s">
        <v>250</v>
      </c>
      <c r="I32" s="52" t="s">
        <v>88</v>
      </c>
      <c r="J32" s="52">
        <v>0.188</v>
      </c>
      <c r="K32" s="52">
        <f t="shared" si="0"/>
        <v>127.89115646258504</v>
      </c>
      <c r="L32" s="52" t="s">
        <v>250</v>
      </c>
      <c r="M32" s="52" t="s">
        <v>88</v>
      </c>
    </row>
    <row r="33" spans="1:13" ht="23.25" customHeight="1" x14ac:dyDescent="0.2">
      <c r="A33" s="29" t="s">
        <v>56</v>
      </c>
      <c r="B33" s="13" t="s">
        <v>57</v>
      </c>
      <c r="C33" s="9" t="s">
        <v>58</v>
      </c>
      <c r="D33" s="51" t="s">
        <v>250</v>
      </c>
      <c r="E33" s="51" t="s">
        <v>88</v>
      </c>
      <c r="F33" s="52" t="s">
        <v>250</v>
      </c>
      <c r="G33" s="52" t="s">
        <v>88</v>
      </c>
      <c r="H33" s="52" t="s">
        <v>250</v>
      </c>
      <c r="I33" s="52" t="s">
        <v>88</v>
      </c>
      <c r="J33" s="52" t="s">
        <v>250</v>
      </c>
      <c r="K33" s="52" t="s">
        <v>88</v>
      </c>
      <c r="L33" s="52" t="s">
        <v>250</v>
      </c>
      <c r="M33" s="52" t="s">
        <v>88</v>
      </c>
    </row>
    <row r="34" spans="1:13" ht="23.25" customHeight="1" x14ac:dyDescent="0.2">
      <c r="A34" s="29" t="s">
        <v>59</v>
      </c>
      <c r="B34" s="13" t="s">
        <v>60</v>
      </c>
      <c r="C34" s="9" t="s">
        <v>58</v>
      </c>
      <c r="D34" s="51" t="s">
        <v>250</v>
      </c>
      <c r="E34" s="51" t="s">
        <v>88</v>
      </c>
      <c r="F34" s="52" t="s">
        <v>250</v>
      </c>
      <c r="G34" s="52" t="s">
        <v>88</v>
      </c>
      <c r="H34" s="52" t="s">
        <v>250</v>
      </c>
      <c r="I34" s="52" t="s">
        <v>88</v>
      </c>
      <c r="J34" s="52" t="s">
        <v>250</v>
      </c>
      <c r="K34" s="52" t="s">
        <v>88</v>
      </c>
      <c r="L34" s="52" t="s">
        <v>250</v>
      </c>
      <c r="M34" s="52" t="s">
        <v>88</v>
      </c>
    </row>
    <row r="35" spans="1:13" ht="23.25" customHeight="1" x14ac:dyDescent="0.2">
      <c r="A35" s="29" t="s">
        <v>61</v>
      </c>
      <c r="B35" s="13" t="s">
        <v>62</v>
      </c>
      <c r="C35" s="9" t="s">
        <v>58</v>
      </c>
      <c r="D35" s="51" t="s">
        <v>250</v>
      </c>
      <c r="E35" s="51" t="s">
        <v>88</v>
      </c>
      <c r="F35" s="52" t="s">
        <v>250</v>
      </c>
      <c r="G35" s="52" t="s">
        <v>88</v>
      </c>
      <c r="H35" s="52" t="s">
        <v>250</v>
      </c>
      <c r="I35" s="52" t="s">
        <v>88</v>
      </c>
      <c r="J35" s="52" t="s">
        <v>250</v>
      </c>
      <c r="K35" s="52" t="s">
        <v>88</v>
      </c>
      <c r="L35" s="52" t="s">
        <v>250</v>
      </c>
      <c r="M35" s="52" t="s">
        <v>88</v>
      </c>
    </row>
    <row r="36" spans="1:13" ht="23.25" customHeight="1" x14ac:dyDescent="0.2">
      <c r="A36" s="29" t="s">
        <v>63</v>
      </c>
      <c r="B36" s="13" t="s">
        <v>64</v>
      </c>
      <c r="C36" s="9" t="s">
        <v>58</v>
      </c>
      <c r="D36" s="51" t="s">
        <v>250</v>
      </c>
      <c r="E36" s="51" t="s">
        <v>88</v>
      </c>
      <c r="F36" s="52" t="s">
        <v>250</v>
      </c>
      <c r="G36" s="52" t="s">
        <v>88</v>
      </c>
      <c r="H36" s="52" t="s">
        <v>250</v>
      </c>
      <c r="I36" s="52" t="s">
        <v>88</v>
      </c>
      <c r="J36" s="52" t="s">
        <v>250</v>
      </c>
      <c r="K36" s="52" t="s">
        <v>88</v>
      </c>
      <c r="L36" s="52" t="s">
        <v>250</v>
      </c>
      <c r="M36" s="52" t="s">
        <v>88</v>
      </c>
    </row>
    <row r="37" spans="1:13" ht="23.25" customHeight="1" x14ac:dyDescent="0.2">
      <c r="A37" s="29" t="s">
        <v>65</v>
      </c>
      <c r="B37" s="13" t="s">
        <v>66</v>
      </c>
      <c r="C37" s="9" t="s">
        <v>67</v>
      </c>
      <c r="D37" s="51" t="s">
        <v>250</v>
      </c>
      <c r="E37" s="51" t="s">
        <v>88</v>
      </c>
      <c r="F37" s="52" t="s">
        <v>250</v>
      </c>
      <c r="G37" s="52" t="s">
        <v>88</v>
      </c>
      <c r="H37" s="52" t="s">
        <v>250</v>
      </c>
      <c r="I37" s="52" t="s">
        <v>88</v>
      </c>
      <c r="J37" s="52" t="s">
        <v>250</v>
      </c>
      <c r="K37" s="52" t="s">
        <v>88</v>
      </c>
      <c r="L37" s="52" t="s">
        <v>250</v>
      </c>
      <c r="M37" s="52" t="s">
        <v>88</v>
      </c>
    </row>
    <row r="38" spans="1:13" ht="23.25" customHeight="1" x14ac:dyDescent="0.2">
      <c r="A38" s="29" t="s">
        <v>68</v>
      </c>
      <c r="B38" s="13" t="s">
        <v>69</v>
      </c>
      <c r="C38" s="9" t="s">
        <v>67</v>
      </c>
      <c r="D38" s="51" t="s">
        <v>250</v>
      </c>
      <c r="E38" s="51" t="s">
        <v>88</v>
      </c>
      <c r="F38" s="52" t="s">
        <v>250</v>
      </c>
      <c r="G38" s="52" t="s">
        <v>88</v>
      </c>
      <c r="H38" s="52" t="s">
        <v>250</v>
      </c>
      <c r="I38" s="52" t="s">
        <v>88</v>
      </c>
      <c r="J38" s="52" t="s">
        <v>250</v>
      </c>
      <c r="K38" s="52" t="s">
        <v>88</v>
      </c>
      <c r="L38" s="52" t="s">
        <v>250</v>
      </c>
      <c r="M38" s="52" t="s">
        <v>88</v>
      </c>
    </row>
    <row r="39" spans="1:13" ht="23.25" customHeight="1" x14ac:dyDescent="0.2">
      <c r="A39" s="29" t="s">
        <v>70</v>
      </c>
      <c r="B39" s="13" t="s">
        <v>71</v>
      </c>
      <c r="C39" s="9" t="s">
        <v>72</v>
      </c>
      <c r="D39" s="51" t="s">
        <v>250</v>
      </c>
      <c r="E39" s="51" t="s">
        <v>88</v>
      </c>
      <c r="F39" s="52" t="s">
        <v>250</v>
      </c>
      <c r="G39" s="52" t="s">
        <v>88</v>
      </c>
      <c r="H39" s="52" t="s">
        <v>250</v>
      </c>
      <c r="I39" s="52" t="s">
        <v>88</v>
      </c>
      <c r="J39" s="52" t="s">
        <v>250</v>
      </c>
      <c r="K39" s="52" t="s">
        <v>88</v>
      </c>
      <c r="L39" s="52" t="s">
        <v>250</v>
      </c>
      <c r="M39" s="52" t="s">
        <v>88</v>
      </c>
    </row>
    <row r="40" spans="1:13" ht="23.25" customHeight="1" x14ac:dyDescent="0.2">
      <c r="A40" s="29" t="s">
        <v>73</v>
      </c>
      <c r="B40" s="13" t="s">
        <v>74</v>
      </c>
      <c r="C40" s="9" t="s">
        <v>75</v>
      </c>
      <c r="D40" s="51" t="s">
        <v>250</v>
      </c>
      <c r="E40" s="51" t="s">
        <v>88</v>
      </c>
      <c r="F40" s="52" t="s">
        <v>250</v>
      </c>
      <c r="G40" s="52" t="s">
        <v>88</v>
      </c>
      <c r="H40" s="52" t="s">
        <v>250</v>
      </c>
      <c r="I40" s="52" t="s">
        <v>88</v>
      </c>
      <c r="J40" s="52" t="s">
        <v>250</v>
      </c>
      <c r="K40" s="52" t="s">
        <v>88</v>
      </c>
      <c r="L40" s="52" t="s">
        <v>250</v>
      </c>
      <c r="M40" s="52" t="s">
        <v>88</v>
      </c>
    </row>
    <row r="41" spans="1:13" ht="23.25" customHeight="1" x14ac:dyDescent="0.2">
      <c r="A41" s="29" t="s">
        <v>76</v>
      </c>
      <c r="B41" s="13" t="s">
        <v>77</v>
      </c>
      <c r="C41" s="9" t="s">
        <v>78</v>
      </c>
      <c r="D41" s="51" t="s">
        <v>250</v>
      </c>
      <c r="E41" s="51" t="s">
        <v>88</v>
      </c>
      <c r="F41" s="52" t="s">
        <v>250</v>
      </c>
      <c r="G41" s="52" t="s">
        <v>88</v>
      </c>
      <c r="H41" s="52" t="s">
        <v>250</v>
      </c>
      <c r="I41" s="52" t="s">
        <v>88</v>
      </c>
      <c r="J41" s="52" t="s">
        <v>250</v>
      </c>
      <c r="K41" s="52" t="s">
        <v>88</v>
      </c>
      <c r="L41" s="52" t="s">
        <v>250</v>
      </c>
      <c r="M41" s="52" t="s">
        <v>88</v>
      </c>
    </row>
    <row r="42" spans="1:13" ht="23.25" customHeight="1" x14ac:dyDescent="0.2">
      <c r="A42" s="29" t="s">
        <v>79</v>
      </c>
      <c r="B42" s="13" t="s">
        <v>80</v>
      </c>
      <c r="C42" s="9" t="s">
        <v>78</v>
      </c>
      <c r="D42" s="51" t="s">
        <v>250</v>
      </c>
      <c r="E42" s="51" t="s">
        <v>88</v>
      </c>
      <c r="F42" s="52" t="s">
        <v>250</v>
      </c>
      <c r="G42" s="52" t="s">
        <v>88</v>
      </c>
      <c r="H42" s="52" t="s">
        <v>250</v>
      </c>
      <c r="I42" s="52" t="s">
        <v>88</v>
      </c>
      <c r="J42" s="52" t="s">
        <v>250</v>
      </c>
      <c r="K42" s="52" t="s">
        <v>88</v>
      </c>
      <c r="L42" s="52" t="s">
        <v>250</v>
      </c>
      <c r="M42" s="52" t="s">
        <v>88</v>
      </c>
    </row>
    <row r="43" spans="1:13" ht="23.25" customHeight="1" x14ac:dyDescent="0.2">
      <c r="A43" s="29" t="s">
        <v>81</v>
      </c>
      <c r="B43" s="13" t="s">
        <v>82</v>
      </c>
      <c r="C43" s="9" t="s">
        <v>78</v>
      </c>
      <c r="D43" s="51" t="s">
        <v>250</v>
      </c>
      <c r="E43" s="51" t="s">
        <v>88</v>
      </c>
      <c r="F43" s="52" t="s">
        <v>250</v>
      </c>
      <c r="G43" s="52" t="s">
        <v>88</v>
      </c>
      <c r="H43" s="52" t="s">
        <v>250</v>
      </c>
      <c r="I43" s="52" t="s">
        <v>88</v>
      </c>
      <c r="J43" s="52" t="s">
        <v>250</v>
      </c>
      <c r="K43" s="52" t="s">
        <v>88</v>
      </c>
      <c r="L43" s="52" t="s">
        <v>250</v>
      </c>
      <c r="M43" s="52" t="s">
        <v>88</v>
      </c>
    </row>
    <row r="44" spans="1:13" ht="23.25" customHeight="1" x14ac:dyDescent="0.2">
      <c r="A44" s="29" t="s">
        <v>83</v>
      </c>
      <c r="B44" s="13" t="s">
        <v>84</v>
      </c>
      <c r="C44" s="9" t="s">
        <v>67</v>
      </c>
      <c r="D44" s="51" t="s">
        <v>250</v>
      </c>
      <c r="E44" s="51" t="s">
        <v>88</v>
      </c>
      <c r="F44" s="52" t="s">
        <v>250</v>
      </c>
      <c r="G44" s="52" t="s">
        <v>88</v>
      </c>
      <c r="H44" s="52" t="s">
        <v>250</v>
      </c>
      <c r="I44" s="52" t="s">
        <v>88</v>
      </c>
      <c r="J44" s="52" t="s">
        <v>250</v>
      </c>
      <c r="K44" s="52" t="s">
        <v>88</v>
      </c>
      <c r="L44" s="52" t="s">
        <v>250</v>
      </c>
      <c r="M44" s="52" t="s">
        <v>88</v>
      </c>
    </row>
    <row r="45" spans="1:13" ht="23.25" customHeight="1" x14ac:dyDescent="0.2">
      <c r="A45" s="30" t="s">
        <v>85</v>
      </c>
      <c r="B45" s="41" t="s">
        <v>86</v>
      </c>
      <c r="C45" s="42"/>
      <c r="D45" s="53"/>
      <c r="E45" s="53"/>
      <c r="F45" s="52"/>
      <c r="G45" s="52"/>
      <c r="H45" s="52"/>
      <c r="I45" s="52"/>
      <c r="J45" s="52"/>
      <c r="K45" s="52"/>
      <c r="L45" s="52"/>
      <c r="M45" s="52"/>
    </row>
    <row r="46" spans="1:13" ht="23.25" customHeight="1" x14ac:dyDescent="0.2">
      <c r="A46" s="29"/>
      <c r="B46" s="13" t="s">
        <v>233</v>
      </c>
      <c r="C46" s="9" t="s">
        <v>87</v>
      </c>
      <c r="D46" s="51">
        <v>12387.2</v>
      </c>
      <c r="E46" s="51">
        <f>D46/6259.32*100</f>
        <v>197.90009138372861</v>
      </c>
      <c r="F46" s="52">
        <f>331964*124756/1000000</f>
        <v>41414.500784000003</v>
      </c>
      <c r="G46" s="52">
        <f>F46/24127.79*100</f>
        <v>171.64647397876061</v>
      </c>
      <c r="H46" s="52">
        <v>8626.7999999999993</v>
      </c>
      <c r="I46" s="52">
        <f>H46/D46*100</f>
        <v>69.642857142857125</v>
      </c>
      <c r="J46" s="52">
        <f>263668*125840/1000000</f>
        <v>33179.981119999997</v>
      </c>
      <c r="K46" s="52">
        <f>J46/F46*100</f>
        <v>80.11682017622843</v>
      </c>
      <c r="L46" s="52">
        <v>9144.41</v>
      </c>
      <c r="M46" s="52">
        <f>L46/H46*100</f>
        <v>106.00002318356749</v>
      </c>
    </row>
    <row r="47" spans="1:13" ht="54.75" customHeight="1" x14ac:dyDescent="0.2">
      <c r="A47" s="29" t="s">
        <v>89</v>
      </c>
      <c r="B47" s="15" t="s">
        <v>90</v>
      </c>
      <c r="C47" s="16" t="s">
        <v>91</v>
      </c>
      <c r="D47" s="50">
        <f>D46/6259.32/114.6*10000</f>
        <v>172.68768881651712</v>
      </c>
      <c r="E47" s="50" t="s">
        <v>88</v>
      </c>
      <c r="F47" s="52">
        <f>F46/24127.79/114.6*10000</f>
        <v>149.77877310537576</v>
      </c>
      <c r="G47" s="52" t="s">
        <v>88</v>
      </c>
      <c r="H47" s="52">
        <f>H46/D46/107*10000</f>
        <v>65.086782376501986</v>
      </c>
      <c r="I47" s="52" t="s">
        <v>88</v>
      </c>
      <c r="J47" s="52">
        <f>J46/F46/107*10000</f>
        <v>74.875532874979839</v>
      </c>
      <c r="K47" s="52" t="s">
        <v>88</v>
      </c>
      <c r="L47" s="52">
        <f>L46/H46/105.3*10000</f>
        <v>100.66478934811728</v>
      </c>
      <c r="M47" s="52" t="s">
        <v>88</v>
      </c>
    </row>
    <row r="48" spans="1:13" ht="23.25" customHeight="1" x14ac:dyDescent="0.2">
      <c r="A48" s="30" t="s">
        <v>92</v>
      </c>
      <c r="B48" s="41" t="s">
        <v>93</v>
      </c>
      <c r="C48" s="42"/>
      <c r="D48" s="53"/>
      <c r="E48" s="53"/>
      <c r="F48" s="52"/>
      <c r="G48" s="52"/>
      <c r="H48" s="52"/>
      <c r="I48" s="52"/>
      <c r="J48" s="55"/>
      <c r="K48" s="52"/>
      <c r="L48" s="55"/>
      <c r="M48" s="55"/>
    </row>
    <row r="49" spans="1:13" ht="23.25" customHeight="1" x14ac:dyDescent="0.2">
      <c r="A49" s="29"/>
      <c r="B49" s="13" t="s">
        <v>232</v>
      </c>
      <c r="C49" s="9" t="s">
        <v>94</v>
      </c>
      <c r="D49" s="51">
        <v>3226.68</v>
      </c>
      <c r="E49" s="51" t="s">
        <v>248</v>
      </c>
      <c r="F49" s="52">
        <v>16133.4</v>
      </c>
      <c r="G49" s="52" t="s">
        <v>248</v>
      </c>
      <c r="H49" s="52">
        <v>3635.5</v>
      </c>
      <c r="I49" s="52">
        <f>H49/D49*100</f>
        <v>112.66998896698775</v>
      </c>
      <c r="J49" s="52">
        <v>18177.5</v>
      </c>
      <c r="K49" s="52">
        <f t="shared" si="0"/>
        <v>112.66998896698775</v>
      </c>
      <c r="L49" s="52">
        <v>3835.45</v>
      </c>
      <c r="M49" s="52">
        <f>L49/H49*100</f>
        <v>105.49993123366799</v>
      </c>
    </row>
    <row r="50" spans="1:13" ht="44.25" customHeight="1" x14ac:dyDescent="0.2">
      <c r="A50" s="29" t="s">
        <v>95</v>
      </c>
      <c r="B50" s="15" t="s">
        <v>90</v>
      </c>
      <c r="C50" s="16" t="s">
        <v>96</v>
      </c>
      <c r="D50" s="50">
        <f>D49/1430.29/110.7*10000</f>
        <v>203.79061225118539</v>
      </c>
      <c r="E50" s="50" t="s">
        <v>88</v>
      </c>
      <c r="F50" s="52">
        <f>F49/7014.5/110.7*10000</f>
        <v>207.76938826484283</v>
      </c>
      <c r="G50" s="56" t="s">
        <v>88</v>
      </c>
      <c r="H50" s="52">
        <f>H49/D49/105.8*10000</f>
        <v>106.49337331473323</v>
      </c>
      <c r="I50" s="52" t="s">
        <v>88</v>
      </c>
      <c r="J50" s="52">
        <f>J49/F49/105.8*10000</f>
        <v>106.49337331473323</v>
      </c>
      <c r="K50" s="56" t="s">
        <v>88</v>
      </c>
      <c r="L50" s="52">
        <f>L49/H49/105*10000</f>
        <v>100.47612498444569</v>
      </c>
      <c r="M50" s="52" t="s">
        <v>88</v>
      </c>
    </row>
    <row r="51" spans="1:13" ht="23.25" customHeight="1" x14ac:dyDescent="0.2">
      <c r="A51" s="30" t="s">
        <v>97</v>
      </c>
      <c r="B51" s="41" t="s">
        <v>98</v>
      </c>
      <c r="C51" s="42"/>
      <c r="D51" s="53"/>
      <c r="E51" s="53"/>
      <c r="F51" s="57"/>
      <c r="G51" s="58"/>
      <c r="H51" s="59"/>
      <c r="I51" s="52"/>
      <c r="J51" s="60"/>
      <c r="K51" s="61"/>
      <c r="L51" s="62"/>
      <c r="M51" s="55"/>
    </row>
    <row r="52" spans="1:13" ht="23.25" customHeight="1" x14ac:dyDescent="0.2">
      <c r="A52" s="29"/>
      <c r="B52" s="13" t="s">
        <v>232</v>
      </c>
      <c r="C52" s="9" t="s">
        <v>94</v>
      </c>
      <c r="D52" s="51">
        <v>7360.41</v>
      </c>
      <c r="E52" s="51">
        <f>D52/6726.54*100</f>
        <v>109.42341828042352</v>
      </c>
      <c r="F52" s="52">
        <v>29835.47</v>
      </c>
      <c r="G52" s="63">
        <f>F52/28550.69*100</f>
        <v>104.49999632233057</v>
      </c>
      <c r="H52" s="52">
        <v>7380.7</v>
      </c>
      <c r="I52" s="52">
        <f>H52/D52*100</f>
        <v>100.27566399154395</v>
      </c>
      <c r="J52" s="52">
        <v>31327.24</v>
      </c>
      <c r="K52" s="63">
        <f>J52/F52*100</f>
        <v>104.99998826899659</v>
      </c>
      <c r="L52" s="52">
        <v>8120.02</v>
      </c>
      <c r="M52" s="52">
        <f>L52/H52*100</f>
        <v>110.01693606297506</v>
      </c>
    </row>
    <row r="53" spans="1:13" ht="44.25" customHeight="1" x14ac:dyDescent="0.2">
      <c r="A53" s="29" t="s">
        <v>99</v>
      </c>
      <c r="B53" s="15" t="s">
        <v>90</v>
      </c>
      <c r="C53" s="16" t="s">
        <v>96</v>
      </c>
      <c r="D53" s="50">
        <f>D52/6726.64/115.4*10000</f>
        <v>94.819576744452661</v>
      </c>
      <c r="E53" s="50" t="s">
        <v>88</v>
      </c>
      <c r="F53" s="50">
        <v>90.55</v>
      </c>
      <c r="G53" s="52" t="s">
        <v>88</v>
      </c>
      <c r="H53" s="52">
        <f>H52/D52/104.5*10000</f>
        <v>95.957573197649708</v>
      </c>
      <c r="I53" s="52" t="s">
        <v>88</v>
      </c>
      <c r="J53" s="50">
        <v>100.48</v>
      </c>
      <c r="K53" s="52" t="s">
        <v>88</v>
      </c>
      <c r="L53" s="52">
        <f>L52/H52/108*10000</f>
        <v>101.86753339164358</v>
      </c>
      <c r="M53" s="52" t="s">
        <v>88</v>
      </c>
    </row>
    <row r="54" spans="1:13" ht="23.25" customHeight="1" x14ac:dyDescent="0.2">
      <c r="A54" s="30" t="s">
        <v>100</v>
      </c>
      <c r="B54" s="41" t="s">
        <v>101</v>
      </c>
      <c r="C54" s="42"/>
      <c r="D54" s="53"/>
      <c r="E54" s="53"/>
      <c r="F54" s="52"/>
      <c r="G54" s="52"/>
      <c r="H54" s="52"/>
      <c r="I54" s="52"/>
      <c r="J54" s="55"/>
      <c r="K54" s="52"/>
      <c r="L54" s="55"/>
      <c r="M54" s="55"/>
    </row>
    <row r="55" spans="1:13" ht="23.25" customHeight="1" x14ac:dyDescent="0.2">
      <c r="A55" s="29"/>
      <c r="B55" s="13" t="s">
        <v>232</v>
      </c>
      <c r="C55" s="9" t="s">
        <v>94</v>
      </c>
      <c r="D55" s="51">
        <v>2237.12</v>
      </c>
      <c r="E55" s="51">
        <f>D55/2261.65*100</f>
        <v>98.915393628545516</v>
      </c>
      <c r="F55" s="50">
        <v>9473.7999999999993</v>
      </c>
      <c r="G55" s="52">
        <f>F55/9022.67*100</f>
        <v>104.99996120882177</v>
      </c>
      <c r="H55" s="52">
        <v>2370</v>
      </c>
      <c r="I55" s="52">
        <f>H55/D55*100</f>
        <v>105.93977971677873</v>
      </c>
      <c r="J55" s="50">
        <v>9852.75</v>
      </c>
      <c r="K55" s="52">
        <f>J55/F55*100</f>
        <v>103.99997888914692</v>
      </c>
      <c r="L55" s="52">
        <v>2483.37</v>
      </c>
      <c r="M55" s="52">
        <f>L55/H55*100</f>
        <v>104.78354430379746</v>
      </c>
    </row>
    <row r="56" spans="1:13" ht="38.25" customHeight="1" x14ac:dyDescent="0.2">
      <c r="A56" s="29" t="s">
        <v>102</v>
      </c>
      <c r="B56" s="15" t="s">
        <v>90</v>
      </c>
      <c r="C56" s="16" t="s">
        <v>96</v>
      </c>
      <c r="D56" s="50">
        <f>D55/2261.65/108.2*10000</f>
        <v>91.419032928415461</v>
      </c>
      <c r="E56" s="50" t="s">
        <v>88</v>
      </c>
      <c r="F56" s="50">
        <f>F55/9022.67/108.2*10000</f>
        <v>97.042478011850065</v>
      </c>
      <c r="G56" s="52" t="s">
        <v>88</v>
      </c>
      <c r="H56" s="52">
        <f>H55/D55/111*10000</f>
        <v>95.441242988088931</v>
      </c>
      <c r="I56" s="52" t="s">
        <v>88</v>
      </c>
      <c r="J56" s="50">
        <f>J55/F55/111*10000</f>
        <v>93.693674674907129</v>
      </c>
      <c r="K56" s="52" t="s">
        <v>88</v>
      </c>
      <c r="L56" s="52">
        <f>L55/H55/105.7*10000</f>
        <v>99.132965282684452</v>
      </c>
      <c r="M56" s="52" t="s">
        <v>88</v>
      </c>
    </row>
    <row r="57" spans="1:13" ht="36.75" customHeight="1" x14ac:dyDescent="0.2">
      <c r="A57" s="30" t="s">
        <v>103</v>
      </c>
      <c r="B57" s="41" t="s">
        <v>104</v>
      </c>
      <c r="C57" s="42"/>
      <c r="D57" s="53"/>
      <c r="E57" s="53"/>
      <c r="F57" s="52"/>
      <c r="G57" s="52"/>
      <c r="H57" s="52"/>
      <c r="I57" s="52"/>
      <c r="J57" s="55"/>
      <c r="K57" s="52"/>
      <c r="L57" s="55"/>
      <c r="M57" s="55"/>
    </row>
    <row r="58" spans="1:13" ht="23.25" customHeight="1" x14ac:dyDescent="0.2">
      <c r="A58" s="29"/>
      <c r="B58" s="15" t="s">
        <v>232</v>
      </c>
      <c r="C58" s="9" t="s">
        <v>28</v>
      </c>
      <c r="D58" s="51">
        <v>34.5</v>
      </c>
      <c r="E58" s="51">
        <f>D58/32.86*100</f>
        <v>104.99087035909922</v>
      </c>
      <c r="F58" s="52">
        <v>139.68</v>
      </c>
      <c r="G58" s="52">
        <f>F58/119.6*100</f>
        <v>116.78929765886288</v>
      </c>
      <c r="H58" s="52">
        <v>34.880000000000003</v>
      </c>
      <c r="I58" s="52">
        <f>H58/D58*100</f>
        <v>101.10144927536233</v>
      </c>
      <c r="J58" s="52">
        <v>141.21</v>
      </c>
      <c r="K58" s="52">
        <f>J58/F58*100</f>
        <v>101.09536082474226</v>
      </c>
      <c r="L58" s="52">
        <v>35.24</v>
      </c>
      <c r="M58" s="52">
        <f>L58/H58*100</f>
        <v>101.03211009174311</v>
      </c>
    </row>
    <row r="59" spans="1:13" ht="56.25" x14ac:dyDescent="0.2">
      <c r="A59" s="29" t="s">
        <v>105</v>
      </c>
      <c r="B59" s="15" t="s">
        <v>106</v>
      </c>
      <c r="C59" s="9" t="s">
        <v>31</v>
      </c>
      <c r="D59" s="51">
        <f>D58/32.86/1.042*100</f>
        <v>100.75899266708177</v>
      </c>
      <c r="E59" s="51" t="s">
        <v>88</v>
      </c>
      <c r="F59" s="52">
        <f>F58/119.6/1.042*100</f>
        <v>112.08185955744997</v>
      </c>
      <c r="G59" s="52" t="s">
        <v>88</v>
      </c>
      <c r="H59" s="52">
        <f>H58/D58/1.007*100</f>
        <v>100.39865866470939</v>
      </c>
      <c r="I59" s="52" t="s">
        <v>88</v>
      </c>
      <c r="J59" s="52">
        <f>J58/F58/1.007*100</f>
        <v>100.39261253698339</v>
      </c>
      <c r="K59" s="52" t="s">
        <v>88</v>
      </c>
      <c r="L59" s="52">
        <f>L58/H58/1.069*100</f>
        <v>94.510860703220885</v>
      </c>
      <c r="M59" s="52" t="s">
        <v>88</v>
      </c>
    </row>
    <row r="60" spans="1:13" ht="23.25" customHeight="1" x14ac:dyDescent="0.2">
      <c r="A60" s="29" t="s">
        <v>107</v>
      </c>
      <c r="B60" s="13" t="s">
        <v>108</v>
      </c>
      <c r="C60" s="9" t="s">
        <v>109</v>
      </c>
      <c r="D60" s="51">
        <v>0.04</v>
      </c>
      <c r="E60" s="51">
        <f>D60/0.03*100</f>
        <v>133.33333333333334</v>
      </c>
      <c r="F60" s="52">
        <v>0.17</v>
      </c>
      <c r="G60" s="52">
        <f>F60/0.18*100</f>
        <v>94.444444444444457</v>
      </c>
      <c r="H60" s="52">
        <v>0.02</v>
      </c>
      <c r="I60" s="52">
        <f>H60/D60*100</f>
        <v>50</v>
      </c>
      <c r="J60" s="52">
        <v>6.0499999999999998E-2</v>
      </c>
      <c r="K60" s="52">
        <f>J60/F60*100</f>
        <v>35.588235294117645</v>
      </c>
      <c r="L60" s="52">
        <v>0</v>
      </c>
      <c r="M60" s="52">
        <v>0</v>
      </c>
    </row>
    <row r="61" spans="1:13" ht="23.25" customHeight="1" x14ac:dyDescent="0.2">
      <c r="A61" s="29" t="s">
        <v>110</v>
      </c>
      <c r="B61" s="13" t="s">
        <v>111</v>
      </c>
      <c r="C61" s="9" t="s">
        <v>109</v>
      </c>
      <c r="D61" s="51">
        <v>0.42</v>
      </c>
      <c r="E61" s="51">
        <f>D61/0.44*100</f>
        <v>95.454545454545453</v>
      </c>
      <c r="F61" s="52">
        <v>1.58</v>
      </c>
      <c r="G61" s="52">
        <f>F61/2.35*100</f>
        <v>67.234042553191486</v>
      </c>
      <c r="H61" s="52">
        <v>0.25</v>
      </c>
      <c r="I61" s="52">
        <f t="shared" ref="I61:I65" si="1">H61/D61*100</f>
        <v>59.523809523809526</v>
      </c>
      <c r="J61" s="52">
        <v>1.0660000000000001</v>
      </c>
      <c r="K61" s="52">
        <f t="shared" si="0"/>
        <v>67.468354430379748</v>
      </c>
      <c r="L61" s="52">
        <v>0</v>
      </c>
      <c r="M61" s="52">
        <v>0</v>
      </c>
    </row>
    <row r="62" spans="1:13" ht="23.25" customHeight="1" x14ac:dyDescent="0.2">
      <c r="A62" s="29" t="s">
        <v>112</v>
      </c>
      <c r="B62" s="13" t="s">
        <v>113</v>
      </c>
      <c r="C62" s="9" t="s">
        <v>114</v>
      </c>
      <c r="D62" s="51">
        <v>0.12</v>
      </c>
      <c r="E62" s="51">
        <f>D62/0.12*100</f>
        <v>100</v>
      </c>
      <c r="F62" s="52">
        <v>0.51</v>
      </c>
      <c r="G62" s="52">
        <f>F62/0.51*100</f>
        <v>100</v>
      </c>
      <c r="H62" s="52">
        <v>0.11</v>
      </c>
      <c r="I62" s="52">
        <f t="shared" si="1"/>
        <v>91.666666666666671</v>
      </c>
      <c r="J62" s="52">
        <v>0.1512</v>
      </c>
      <c r="K62" s="52">
        <f t="shared" si="0"/>
        <v>29.647058823529409</v>
      </c>
      <c r="L62" s="52">
        <v>0</v>
      </c>
      <c r="M62" s="52">
        <v>0</v>
      </c>
    </row>
    <row r="63" spans="1:13" ht="23.25" customHeight="1" x14ac:dyDescent="0.2">
      <c r="A63" s="29" t="s">
        <v>115</v>
      </c>
      <c r="B63" s="13" t="s">
        <v>116</v>
      </c>
      <c r="C63" s="9" t="s">
        <v>109</v>
      </c>
      <c r="D63" s="51">
        <v>0</v>
      </c>
      <c r="E63" s="51">
        <v>0</v>
      </c>
      <c r="F63" s="52">
        <v>0.03</v>
      </c>
      <c r="G63" s="52">
        <v>0</v>
      </c>
      <c r="H63" s="52">
        <v>0</v>
      </c>
      <c r="I63" s="52">
        <v>0</v>
      </c>
      <c r="J63" s="52">
        <v>2.5999999999999999E-2</v>
      </c>
      <c r="K63" s="52">
        <f t="shared" si="0"/>
        <v>86.666666666666671</v>
      </c>
      <c r="L63" s="52">
        <v>0</v>
      </c>
      <c r="M63" s="52">
        <v>0</v>
      </c>
    </row>
    <row r="64" spans="1:13" ht="23.25" customHeight="1" x14ac:dyDescent="0.2">
      <c r="A64" s="29" t="s">
        <v>117</v>
      </c>
      <c r="B64" s="13" t="s">
        <v>118</v>
      </c>
      <c r="C64" s="9" t="s">
        <v>109</v>
      </c>
      <c r="D64" s="51">
        <v>0</v>
      </c>
      <c r="E64" s="51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</row>
    <row r="65" spans="1:13" ht="23.25" customHeight="1" x14ac:dyDescent="0.2">
      <c r="A65" s="29" t="s">
        <v>119</v>
      </c>
      <c r="B65" s="13" t="s">
        <v>120</v>
      </c>
      <c r="C65" s="9" t="s">
        <v>121</v>
      </c>
      <c r="D65" s="51">
        <v>3.7</v>
      </c>
      <c r="E65" s="51">
        <f>D65/3.78*100</f>
        <v>97.883597883597901</v>
      </c>
      <c r="F65" s="52">
        <v>3.44</v>
      </c>
      <c r="G65" s="52">
        <f>F65/3.99*100</f>
        <v>86.215538847117784</v>
      </c>
      <c r="H65" s="52">
        <v>2.37</v>
      </c>
      <c r="I65" s="52">
        <f t="shared" si="1"/>
        <v>64.054054054054049</v>
      </c>
      <c r="J65" s="52">
        <v>1.1930000000000001</v>
      </c>
      <c r="K65" s="52">
        <f t="shared" si="0"/>
        <v>34.680232558139537</v>
      </c>
      <c r="L65" s="52">
        <v>0</v>
      </c>
      <c r="M65" s="52">
        <v>0</v>
      </c>
    </row>
    <row r="66" spans="1:13" ht="23.25" customHeight="1" x14ac:dyDescent="0.2">
      <c r="A66" s="30" t="s">
        <v>122</v>
      </c>
      <c r="B66" s="41" t="s">
        <v>123</v>
      </c>
      <c r="C66" s="42"/>
      <c r="D66" s="53"/>
      <c r="E66" s="53"/>
      <c r="F66" s="52"/>
      <c r="G66" s="52"/>
      <c r="H66" s="52"/>
      <c r="I66" s="52"/>
      <c r="J66" s="55"/>
      <c r="K66" s="52"/>
      <c r="L66" s="55"/>
      <c r="M66" s="55"/>
    </row>
    <row r="67" spans="1:13" ht="23.25" customHeight="1" x14ac:dyDescent="0.2">
      <c r="A67" s="29" t="s">
        <v>124</v>
      </c>
      <c r="B67" s="13" t="s">
        <v>125</v>
      </c>
      <c r="C67" s="9" t="s">
        <v>126</v>
      </c>
      <c r="D67" s="51">
        <v>236.3</v>
      </c>
      <c r="E67" s="51">
        <f>D67/190.7*100</f>
        <v>123.9119035133718</v>
      </c>
      <c r="F67" s="52">
        <v>1270</v>
      </c>
      <c r="G67" s="52">
        <f>F67/1216.66*100</f>
        <v>104.38413361169101</v>
      </c>
      <c r="H67" s="52">
        <v>252.86</v>
      </c>
      <c r="I67" s="52">
        <f>H67/D67*100</f>
        <v>107.00804062632247</v>
      </c>
      <c r="J67" s="52">
        <v>1213.0899999999999</v>
      </c>
      <c r="K67" s="52">
        <f t="shared" si="0"/>
        <v>95.518897637795263</v>
      </c>
      <c r="L67" s="52">
        <v>303.3</v>
      </c>
      <c r="M67" s="52">
        <f>L67/H67*100</f>
        <v>119.94779720003163</v>
      </c>
    </row>
    <row r="68" spans="1:13" ht="23.25" customHeight="1" x14ac:dyDescent="0.2">
      <c r="A68" s="29" t="s">
        <v>127</v>
      </c>
      <c r="B68" s="13" t="s">
        <v>128</v>
      </c>
      <c r="C68" s="9" t="s">
        <v>126</v>
      </c>
      <c r="D68" s="51">
        <v>0</v>
      </c>
      <c r="E68" s="51" t="s">
        <v>88</v>
      </c>
      <c r="F68" s="52">
        <v>0</v>
      </c>
      <c r="G68" s="52" t="s">
        <v>88</v>
      </c>
      <c r="H68" s="52">
        <v>0</v>
      </c>
      <c r="I68" s="52" t="s">
        <v>88</v>
      </c>
      <c r="J68" s="52">
        <v>0</v>
      </c>
      <c r="K68" s="52" t="s">
        <v>88</v>
      </c>
      <c r="L68" s="52">
        <v>0</v>
      </c>
      <c r="M68" s="52" t="s">
        <v>88</v>
      </c>
    </row>
    <row r="69" spans="1:13" ht="23.25" customHeight="1" x14ac:dyDescent="0.2">
      <c r="A69" s="29" t="s">
        <v>129</v>
      </c>
      <c r="B69" s="13" t="s">
        <v>130</v>
      </c>
      <c r="C69" s="9" t="s">
        <v>126</v>
      </c>
      <c r="D69" s="51">
        <v>0</v>
      </c>
      <c r="E69" s="51" t="s">
        <v>88</v>
      </c>
      <c r="F69" s="52">
        <v>0</v>
      </c>
      <c r="G69" s="52" t="s">
        <v>88</v>
      </c>
      <c r="H69" s="52">
        <v>0</v>
      </c>
      <c r="I69" s="52" t="s">
        <v>88</v>
      </c>
      <c r="J69" s="52">
        <v>10</v>
      </c>
      <c r="K69" s="52" t="s">
        <v>88</v>
      </c>
      <c r="L69" s="52">
        <v>2.5</v>
      </c>
      <c r="M69" s="52" t="s">
        <v>88</v>
      </c>
    </row>
    <row r="70" spans="1:13" ht="23.25" customHeight="1" x14ac:dyDescent="0.2">
      <c r="A70" s="30" t="s">
        <v>131</v>
      </c>
      <c r="B70" s="41" t="s">
        <v>132</v>
      </c>
      <c r="C70" s="42"/>
      <c r="D70" s="53"/>
      <c r="E70" s="53"/>
      <c r="F70" s="52"/>
      <c r="G70" s="52"/>
      <c r="H70" s="52"/>
      <c r="I70" s="52"/>
      <c r="J70" s="55"/>
      <c r="K70" s="52"/>
      <c r="L70" s="55"/>
      <c r="M70" s="55"/>
    </row>
    <row r="71" spans="1:13" ht="37.5" x14ac:dyDescent="0.2">
      <c r="A71" s="29" t="s">
        <v>133</v>
      </c>
      <c r="B71" s="13" t="s">
        <v>134</v>
      </c>
      <c r="C71" s="9" t="s">
        <v>21</v>
      </c>
      <c r="D71" s="51">
        <v>0</v>
      </c>
      <c r="E71" s="51" t="s">
        <v>88</v>
      </c>
      <c r="F71" s="52">
        <v>0</v>
      </c>
      <c r="G71" s="52" t="s">
        <v>88</v>
      </c>
      <c r="H71" s="52">
        <v>0</v>
      </c>
      <c r="I71" s="52" t="s">
        <v>88</v>
      </c>
      <c r="J71" s="52">
        <v>0</v>
      </c>
      <c r="K71" s="52" t="s">
        <v>88</v>
      </c>
      <c r="L71" s="52">
        <v>0</v>
      </c>
      <c r="M71" s="52" t="s">
        <v>88</v>
      </c>
    </row>
    <row r="72" spans="1:13" ht="37.5" x14ac:dyDescent="0.2">
      <c r="A72" s="29" t="s">
        <v>135</v>
      </c>
      <c r="B72" s="13" t="s">
        <v>136</v>
      </c>
      <c r="C72" s="9" t="s">
        <v>21</v>
      </c>
      <c r="D72" s="51">
        <v>0</v>
      </c>
      <c r="E72" s="51" t="s">
        <v>88</v>
      </c>
      <c r="F72" s="52">
        <v>0</v>
      </c>
      <c r="G72" s="52" t="s">
        <v>88</v>
      </c>
      <c r="H72" s="52">
        <v>0</v>
      </c>
      <c r="I72" s="52" t="s">
        <v>88</v>
      </c>
      <c r="J72" s="52">
        <v>0</v>
      </c>
      <c r="K72" s="52" t="s">
        <v>88</v>
      </c>
      <c r="L72" s="52">
        <v>0</v>
      </c>
      <c r="M72" s="52" t="s">
        <v>88</v>
      </c>
    </row>
    <row r="73" spans="1:13" ht="37.5" x14ac:dyDescent="0.2">
      <c r="A73" s="29" t="s">
        <v>137</v>
      </c>
      <c r="B73" s="13" t="s">
        <v>138</v>
      </c>
      <c r="C73" s="9" t="s">
        <v>21</v>
      </c>
      <c r="D73" s="51">
        <v>0</v>
      </c>
      <c r="E73" s="51" t="s">
        <v>88</v>
      </c>
      <c r="F73" s="52">
        <v>0</v>
      </c>
      <c r="G73" s="52" t="s">
        <v>88</v>
      </c>
      <c r="H73" s="52">
        <v>0</v>
      </c>
      <c r="I73" s="52" t="s">
        <v>88</v>
      </c>
      <c r="J73" s="52">
        <v>0</v>
      </c>
      <c r="K73" s="52" t="s">
        <v>88</v>
      </c>
      <c r="L73" s="52">
        <v>0</v>
      </c>
      <c r="M73" s="52" t="s">
        <v>88</v>
      </c>
    </row>
    <row r="74" spans="1:13" ht="56.25" x14ac:dyDescent="0.2">
      <c r="A74" s="29" t="s">
        <v>139</v>
      </c>
      <c r="B74" s="13" t="s">
        <v>140</v>
      </c>
      <c r="C74" s="9" t="s">
        <v>21</v>
      </c>
      <c r="D74" s="51">
        <v>0</v>
      </c>
      <c r="E74" s="51" t="s">
        <v>88</v>
      </c>
      <c r="F74" s="52">
        <v>0</v>
      </c>
      <c r="G74" s="52" t="s">
        <v>88</v>
      </c>
      <c r="H74" s="52">
        <v>0</v>
      </c>
      <c r="I74" s="52" t="s">
        <v>88</v>
      </c>
      <c r="J74" s="52">
        <v>0</v>
      </c>
      <c r="K74" s="52" t="s">
        <v>88</v>
      </c>
      <c r="L74" s="52">
        <v>0</v>
      </c>
      <c r="M74" s="52" t="s">
        <v>88</v>
      </c>
    </row>
    <row r="75" spans="1:13" ht="18.75" x14ac:dyDescent="0.2">
      <c r="A75" s="30" t="s">
        <v>141</v>
      </c>
      <c r="B75" s="41" t="s">
        <v>142</v>
      </c>
      <c r="C75" s="42"/>
      <c r="D75" s="53"/>
      <c r="E75" s="53"/>
      <c r="F75" s="52"/>
      <c r="G75" s="52"/>
      <c r="H75" s="52"/>
      <c r="I75" s="52"/>
      <c r="J75" s="55"/>
      <c r="K75" s="52"/>
      <c r="L75" s="55"/>
      <c r="M75" s="55"/>
    </row>
    <row r="76" spans="1:13" ht="23.25" customHeight="1" x14ac:dyDescent="0.2">
      <c r="A76" s="29" t="s">
        <v>143</v>
      </c>
      <c r="B76" s="13" t="s">
        <v>144</v>
      </c>
      <c r="C76" s="9" t="s">
        <v>94</v>
      </c>
      <c r="D76" s="51" t="s">
        <v>250</v>
      </c>
      <c r="E76" s="51" t="s">
        <v>88</v>
      </c>
      <c r="F76" s="52" t="s">
        <v>250</v>
      </c>
      <c r="G76" s="52" t="s">
        <v>88</v>
      </c>
      <c r="H76" s="52" t="s">
        <v>250</v>
      </c>
      <c r="I76" s="52" t="s">
        <v>88</v>
      </c>
      <c r="J76" s="52" t="s">
        <v>250</v>
      </c>
      <c r="K76" s="52" t="s">
        <v>88</v>
      </c>
      <c r="L76" s="52" t="s">
        <v>250</v>
      </c>
      <c r="M76" s="52" t="s">
        <v>88</v>
      </c>
    </row>
    <row r="77" spans="1:13" ht="23.25" customHeight="1" x14ac:dyDescent="0.2">
      <c r="A77" s="29" t="s">
        <v>145</v>
      </c>
      <c r="B77" s="13" t="s">
        <v>146</v>
      </c>
      <c r="C77" s="9" t="s">
        <v>94</v>
      </c>
      <c r="D77" s="51" t="s">
        <v>250</v>
      </c>
      <c r="E77" s="51" t="s">
        <v>88</v>
      </c>
      <c r="F77" s="52">
        <v>117.32</v>
      </c>
      <c r="G77" s="52" t="s">
        <v>88</v>
      </c>
      <c r="H77" s="52" t="s">
        <v>250</v>
      </c>
      <c r="I77" s="52" t="s">
        <v>88</v>
      </c>
      <c r="J77" s="52">
        <v>30.71</v>
      </c>
      <c r="K77" s="52" t="s">
        <v>88</v>
      </c>
      <c r="L77" s="52" t="s">
        <v>250</v>
      </c>
      <c r="M77" s="52" t="s">
        <v>88</v>
      </c>
    </row>
    <row r="78" spans="1:13" ht="23.25" customHeight="1" x14ac:dyDescent="0.2">
      <c r="A78" s="29" t="s">
        <v>147</v>
      </c>
      <c r="B78" s="13" t="s">
        <v>148</v>
      </c>
      <c r="C78" s="9" t="s">
        <v>94</v>
      </c>
      <c r="D78" s="51" t="s">
        <v>250</v>
      </c>
      <c r="E78" s="51" t="s">
        <v>88</v>
      </c>
      <c r="F78" s="52">
        <v>0</v>
      </c>
      <c r="G78" s="52" t="s">
        <v>88</v>
      </c>
      <c r="H78" s="52" t="s">
        <v>250</v>
      </c>
      <c r="I78" s="52" t="s">
        <v>88</v>
      </c>
      <c r="J78" s="52">
        <v>0</v>
      </c>
      <c r="K78" s="52" t="s">
        <v>88</v>
      </c>
      <c r="L78" s="52" t="s">
        <v>250</v>
      </c>
      <c r="M78" s="52" t="s">
        <v>88</v>
      </c>
    </row>
    <row r="79" spans="1:13" ht="23.25" customHeight="1" x14ac:dyDescent="0.2">
      <c r="A79" s="29" t="s">
        <v>149</v>
      </c>
      <c r="B79" s="13" t="s">
        <v>150</v>
      </c>
      <c r="C79" s="9" t="s">
        <v>94</v>
      </c>
      <c r="D79" s="51" t="s">
        <v>250</v>
      </c>
      <c r="E79" s="51" t="s">
        <v>88</v>
      </c>
      <c r="F79" s="52">
        <v>28354.62</v>
      </c>
      <c r="G79" s="52" t="s">
        <v>88</v>
      </c>
      <c r="H79" s="52" t="s">
        <v>250</v>
      </c>
      <c r="I79" s="52" t="s">
        <v>88</v>
      </c>
      <c r="J79" s="52">
        <v>26320.58</v>
      </c>
      <c r="K79" s="52" t="s">
        <v>88</v>
      </c>
      <c r="L79" s="52" t="s">
        <v>250</v>
      </c>
      <c r="M79" s="52" t="s">
        <v>88</v>
      </c>
    </row>
    <row r="80" spans="1:13" ht="23.25" customHeight="1" x14ac:dyDescent="0.2">
      <c r="A80" s="29" t="s">
        <v>151</v>
      </c>
      <c r="B80" s="13" t="s">
        <v>148</v>
      </c>
      <c r="C80" s="9" t="s">
        <v>94</v>
      </c>
      <c r="D80" s="51" t="s">
        <v>250</v>
      </c>
      <c r="E80" s="51" t="s">
        <v>88</v>
      </c>
      <c r="F80" s="52">
        <v>564.75</v>
      </c>
      <c r="G80" s="52" t="s">
        <v>88</v>
      </c>
      <c r="H80" s="52" t="s">
        <v>250</v>
      </c>
      <c r="I80" s="52" t="s">
        <v>88</v>
      </c>
      <c r="J80" s="52">
        <v>500.56</v>
      </c>
      <c r="K80" s="52" t="s">
        <v>88</v>
      </c>
      <c r="L80" s="52" t="s">
        <v>250</v>
      </c>
      <c r="M80" s="52" t="s">
        <v>88</v>
      </c>
    </row>
    <row r="81" spans="1:13" ht="18.75" x14ac:dyDescent="0.2">
      <c r="A81" s="30" t="s">
        <v>152</v>
      </c>
      <c r="B81" s="41" t="s">
        <v>236</v>
      </c>
      <c r="C81" s="42"/>
      <c r="D81" s="53"/>
      <c r="E81" s="53"/>
      <c r="F81" s="52"/>
      <c r="G81" s="52"/>
      <c r="H81" s="52"/>
      <c r="I81" s="52"/>
      <c r="J81" s="55"/>
      <c r="K81" s="52"/>
      <c r="L81" s="55"/>
      <c r="M81" s="55"/>
    </row>
    <row r="82" spans="1:13" ht="23.25" customHeight="1" x14ac:dyDescent="0.2">
      <c r="A82" s="29" t="s">
        <v>153</v>
      </c>
      <c r="B82" s="13" t="s">
        <v>154</v>
      </c>
      <c r="C82" s="9" t="s">
        <v>67</v>
      </c>
      <c r="D82" s="51">
        <v>35.67</v>
      </c>
      <c r="E82" s="51" t="s">
        <v>249</v>
      </c>
      <c r="F82" s="52">
        <v>65.423000000000002</v>
      </c>
      <c r="G82" s="52" t="s">
        <v>249</v>
      </c>
      <c r="H82" s="52">
        <v>0.374</v>
      </c>
      <c r="I82" s="52">
        <f>H82/D82*100</f>
        <v>1.0485001401738157</v>
      </c>
      <c r="J82" s="52">
        <v>97.641000000000005</v>
      </c>
      <c r="K82" s="52">
        <f t="shared" ref="K82:K116" si="2">J82/F82*100</f>
        <v>149.24567812542989</v>
      </c>
      <c r="L82" s="52">
        <v>1.6</v>
      </c>
      <c r="M82" s="52" t="s">
        <v>251</v>
      </c>
    </row>
    <row r="83" spans="1:13" ht="23.25" customHeight="1" x14ac:dyDescent="0.2">
      <c r="A83" s="29" t="s">
        <v>155</v>
      </c>
      <c r="B83" s="13" t="s">
        <v>156</v>
      </c>
      <c r="C83" s="9" t="s">
        <v>157</v>
      </c>
      <c r="D83" s="51">
        <v>0</v>
      </c>
      <c r="E83" s="51" t="s">
        <v>88</v>
      </c>
      <c r="F83" s="52">
        <v>0</v>
      </c>
      <c r="G83" s="52" t="s">
        <v>88</v>
      </c>
      <c r="H83" s="52">
        <v>0</v>
      </c>
      <c r="I83" s="52" t="s">
        <v>88</v>
      </c>
      <c r="J83" s="52">
        <v>0</v>
      </c>
      <c r="K83" s="52" t="s">
        <v>88</v>
      </c>
      <c r="L83" s="52">
        <v>0</v>
      </c>
      <c r="M83" s="52" t="s">
        <v>88</v>
      </c>
    </row>
    <row r="84" spans="1:13" ht="23.25" customHeight="1" x14ac:dyDescent="0.2">
      <c r="A84" s="29" t="s">
        <v>158</v>
      </c>
      <c r="B84" s="13" t="s">
        <v>159</v>
      </c>
      <c r="C84" s="9" t="s">
        <v>160</v>
      </c>
      <c r="D84" s="51">
        <v>0</v>
      </c>
      <c r="E84" s="51" t="s">
        <v>88</v>
      </c>
      <c r="F84" s="52">
        <v>0</v>
      </c>
      <c r="G84" s="52" t="s">
        <v>88</v>
      </c>
      <c r="H84" s="52">
        <v>0</v>
      </c>
      <c r="I84" s="52" t="s">
        <v>88</v>
      </c>
      <c r="J84" s="52">
        <v>0</v>
      </c>
      <c r="K84" s="52" t="s">
        <v>88</v>
      </c>
      <c r="L84" s="52">
        <v>0</v>
      </c>
      <c r="M84" s="52" t="s">
        <v>88</v>
      </c>
    </row>
    <row r="85" spans="1:13" ht="37.5" x14ac:dyDescent="0.2">
      <c r="A85" s="29" t="s">
        <v>161</v>
      </c>
      <c r="B85" s="13" t="s">
        <v>162</v>
      </c>
      <c r="C85" s="9" t="s">
        <v>163</v>
      </c>
      <c r="D85" s="51">
        <v>0</v>
      </c>
      <c r="E85" s="51" t="s">
        <v>88</v>
      </c>
      <c r="F85" s="52">
        <v>0</v>
      </c>
      <c r="G85" s="52" t="s">
        <v>88</v>
      </c>
      <c r="H85" s="52">
        <v>0</v>
      </c>
      <c r="I85" s="52" t="s">
        <v>88</v>
      </c>
      <c r="J85" s="52">
        <v>0</v>
      </c>
      <c r="K85" s="52" t="s">
        <v>88</v>
      </c>
      <c r="L85" s="52">
        <v>0</v>
      </c>
      <c r="M85" s="52" t="s">
        <v>88</v>
      </c>
    </row>
    <row r="86" spans="1:13" ht="23.25" customHeight="1" x14ac:dyDescent="0.2">
      <c r="A86" s="29" t="s">
        <v>164</v>
      </c>
      <c r="B86" s="13" t="s">
        <v>165</v>
      </c>
      <c r="C86" s="9" t="s">
        <v>166</v>
      </c>
      <c r="D86" s="51">
        <v>0</v>
      </c>
      <c r="E86" s="51" t="s">
        <v>88</v>
      </c>
      <c r="F86" s="52">
        <v>0</v>
      </c>
      <c r="G86" s="52" t="s">
        <v>88</v>
      </c>
      <c r="H86" s="52">
        <v>0</v>
      </c>
      <c r="I86" s="52" t="s">
        <v>88</v>
      </c>
      <c r="J86" s="52">
        <v>0</v>
      </c>
      <c r="K86" s="52" t="s">
        <v>88</v>
      </c>
      <c r="L86" s="52">
        <v>0</v>
      </c>
      <c r="M86" s="52" t="s">
        <v>88</v>
      </c>
    </row>
    <row r="87" spans="1:13" ht="18.75" x14ac:dyDescent="0.2">
      <c r="A87" s="30" t="s">
        <v>167</v>
      </c>
      <c r="B87" s="41" t="s">
        <v>168</v>
      </c>
      <c r="C87" s="42"/>
      <c r="D87" s="53"/>
      <c r="E87" s="53"/>
      <c r="F87" s="52"/>
      <c r="G87" s="52"/>
      <c r="H87" s="52"/>
      <c r="I87" s="52"/>
      <c r="J87" s="55"/>
      <c r="K87" s="52"/>
      <c r="L87" s="55"/>
      <c r="M87" s="55"/>
    </row>
    <row r="88" spans="1:13" ht="37.5" x14ac:dyDescent="0.2">
      <c r="A88" s="29" t="s">
        <v>169</v>
      </c>
      <c r="B88" s="13" t="s">
        <v>170</v>
      </c>
      <c r="C88" s="9" t="s">
        <v>21</v>
      </c>
      <c r="D88" s="51">
        <v>27</v>
      </c>
      <c r="E88" s="51">
        <v>100</v>
      </c>
      <c r="F88" s="52">
        <v>27</v>
      </c>
      <c r="G88" s="52">
        <v>103.8</v>
      </c>
      <c r="H88" s="52">
        <v>27</v>
      </c>
      <c r="I88" s="52">
        <v>100</v>
      </c>
      <c r="J88" s="52">
        <v>24</v>
      </c>
      <c r="K88" s="52">
        <f t="shared" si="2"/>
        <v>88.888888888888886</v>
      </c>
      <c r="L88" s="52">
        <v>24</v>
      </c>
      <c r="M88" s="52">
        <f>L88/H88*100</f>
        <v>88.888888888888886</v>
      </c>
    </row>
    <row r="89" spans="1:13" ht="23.25" customHeight="1" x14ac:dyDescent="0.2">
      <c r="A89" s="29" t="s">
        <v>171</v>
      </c>
      <c r="B89" s="12" t="s">
        <v>172</v>
      </c>
      <c r="C89" s="9" t="s">
        <v>21</v>
      </c>
      <c r="D89" s="51">
        <v>22</v>
      </c>
      <c r="E89" s="51">
        <v>100</v>
      </c>
      <c r="F89" s="52">
        <v>22</v>
      </c>
      <c r="G89" s="52">
        <v>104.8</v>
      </c>
      <c r="H89" s="52">
        <v>22</v>
      </c>
      <c r="I89" s="52">
        <v>100</v>
      </c>
      <c r="J89" s="52">
        <v>19</v>
      </c>
      <c r="K89" s="52">
        <f t="shared" si="2"/>
        <v>86.36363636363636</v>
      </c>
      <c r="L89" s="52">
        <v>19</v>
      </c>
      <c r="M89" s="52">
        <f>L89/H89*100</f>
        <v>86.36363636363636</v>
      </c>
    </row>
    <row r="90" spans="1:13" ht="23.25" customHeight="1" x14ac:dyDescent="0.2">
      <c r="A90" s="29" t="s">
        <v>173</v>
      </c>
      <c r="B90" s="12" t="s">
        <v>174</v>
      </c>
      <c r="C90" s="9" t="s">
        <v>21</v>
      </c>
      <c r="D90" s="51">
        <v>21</v>
      </c>
      <c r="E90" s="51">
        <v>100</v>
      </c>
      <c r="F90" s="52">
        <v>21</v>
      </c>
      <c r="G90" s="52">
        <v>105</v>
      </c>
      <c r="H90" s="52">
        <v>21</v>
      </c>
      <c r="I90" s="52">
        <v>100</v>
      </c>
      <c r="J90" s="52">
        <v>19</v>
      </c>
      <c r="K90" s="52">
        <f t="shared" si="2"/>
        <v>90.476190476190482</v>
      </c>
      <c r="L90" s="52">
        <v>19</v>
      </c>
      <c r="M90" s="52">
        <f>L90/H90*100</f>
        <v>90.476190476190482</v>
      </c>
    </row>
    <row r="91" spans="1:13" ht="23.25" customHeight="1" x14ac:dyDescent="0.2">
      <c r="A91" s="29" t="s">
        <v>175</v>
      </c>
      <c r="B91" s="12" t="s">
        <v>176</v>
      </c>
      <c r="C91" s="9" t="s">
        <v>21</v>
      </c>
      <c r="D91" s="51">
        <v>27</v>
      </c>
      <c r="E91" s="51">
        <v>100</v>
      </c>
      <c r="F91" s="52">
        <v>27</v>
      </c>
      <c r="G91" s="52">
        <v>103.8</v>
      </c>
      <c r="H91" s="52">
        <v>27</v>
      </c>
      <c r="I91" s="52">
        <v>100</v>
      </c>
      <c r="J91" s="52">
        <v>24</v>
      </c>
      <c r="K91" s="52">
        <f t="shared" si="2"/>
        <v>88.888888888888886</v>
      </c>
      <c r="L91" s="52">
        <v>24</v>
      </c>
      <c r="M91" s="52">
        <f>L91/H91*100</f>
        <v>88.888888888888886</v>
      </c>
    </row>
    <row r="92" spans="1:13" ht="23.25" customHeight="1" x14ac:dyDescent="0.2">
      <c r="A92" s="29" t="s">
        <v>177</v>
      </c>
      <c r="B92" s="12" t="s">
        <v>174</v>
      </c>
      <c r="C92" s="9" t="s">
        <v>21</v>
      </c>
      <c r="D92" s="51">
        <v>24</v>
      </c>
      <c r="E92" s="51">
        <v>100</v>
      </c>
      <c r="F92" s="52">
        <v>24</v>
      </c>
      <c r="G92" s="52">
        <v>104.3</v>
      </c>
      <c r="H92" s="52">
        <v>24</v>
      </c>
      <c r="I92" s="52">
        <v>100</v>
      </c>
      <c r="J92" s="52">
        <v>22</v>
      </c>
      <c r="K92" s="52">
        <f>J92/F92*100</f>
        <v>91.666666666666657</v>
      </c>
      <c r="L92" s="52">
        <v>22</v>
      </c>
      <c r="M92" s="52">
        <f>L92/H92*100</f>
        <v>91.666666666666657</v>
      </c>
    </row>
    <row r="93" spans="1:13" ht="37.5" x14ac:dyDescent="0.2">
      <c r="A93" s="29" t="s">
        <v>178</v>
      </c>
      <c r="B93" s="13" t="s">
        <v>179</v>
      </c>
      <c r="C93" s="9" t="s">
        <v>180</v>
      </c>
      <c r="D93" s="51">
        <v>100</v>
      </c>
      <c r="E93" s="51" t="s">
        <v>88</v>
      </c>
      <c r="F93" s="52">
        <v>100</v>
      </c>
      <c r="G93" s="52" t="s">
        <v>88</v>
      </c>
      <c r="H93" s="52">
        <v>100</v>
      </c>
      <c r="I93" s="52" t="s">
        <v>88</v>
      </c>
      <c r="J93" s="52">
        <v>100</v>
      </c>
      <c r="K93" s="52" t="s">
        <v>88</v>
      </c>
      <c r="L93" s="52">
        <v>100</v>
      </c>
      <c r="M93" s="52" t="s">
        <v>88</v>
      </c>
    </row>
    <row r="94" spans="1:13" ht="23.25" customHeight="1" x14ac:dyDescent="0.2">
      <c r="A94" s="29" t="s">
        <v>181</v>
      </c>
      <c r="B94" s="13" t="s">
        <v>182</v>
      </c>
      <c r="C94" s="9" t="s">
        <v>28</v>
      </c>
      <c r="D94" s="51">
        <v>911.55</v>
      </c>
      <c r="E94" s="51">
        <v>83.55</v>
      </c>
      <c r="F94" s="52">
        <v>1008.7</v>
      </c>
      <c r="G94" s="52">
        <v>96.7</v>
      </c>
      <c r="H94" s="52">
        <v>851.8</v>
      </c>
      <c r="I94" s="52">
        <f>H94/D94*100</f>
        <v>93.445230651088806</v>
      </c>
      <c r="J94" s="52">
        <v>924.8</v>
      </c>
      <c r="K94" s="52">
        <f t="shared" si="2"/>
        <v>91.682363438088615</v>
      </c>
      <c r="L94" s="52">
        <v>834.5</v>
      </c>
      <c r="M94" s="52">
        <f>L94/H94*100</f>
        <v>97.969006809110127</v>
      </c>
    </row>
    <row r="95" spans="1:13" ht="37.5" x14ac:dyDescent="0.2">
      <c r="A95" s="29" t="s">
        <v>183</v>
      </c>
      <c r="B95" s="13" t="s">
        <v>184</v>
      </c>
      <c r="C95" s="9" t="s">
        <v>180</v>
      </c>
      <c r="D95" s="51">
        <v>88.15</v>
      </c>
      <c r="E95" s="51" t="s">
        <v>88</v>
      </c>
      <c r="F95" s="52">
        <v>89.4</v>
      </c>
      <c r="G95" s="52" t="s">
        <v>88</v>
      </c>
      <c r="H95" s="52">
        <v>91.3</v>
      </c>
      <c r="I95" s="52" t="s">
        <v>88</v>
      </c>
      <c r="J95" s="52">
        <v>90.1</v>
      </c>
      <c r="K95" s="52" t="s">
        <v>88</v>
      </c>
      <c r="L95" s="52">
        <v>86.7</v>
      </c>
      <c r="M95" s="52" t="s">
        <v>88</v>
      </c>
    </row>
    <row r="96" spans="1:13" ht="37.5" x14ac:dyDescent="0.2">
      <c r="A96" s="29" t="s">
        <v>185</v>
      </c>
      <c r="B96" s="12" t="s">
        <v>186</v>
      </c>
      <c r="C96" s="9" t="s">
        <v>28</v>
      </c>
      <c r="D96" s="51">
        <v>8.9469999999999992</v>
      </c>
      <c r="E96" s="51">
        <v>69</v>
      </c>
      <c r="F96" s="52">
        <v>31.99</v>
      </c>
      <c r="G96" s="52">
        <v>75</v>
      </c>
      <c r="H96" s="52">
        <v>7.4</v>
      </c>
      <c r="I96" s="52">
        <f>H96/D96*100</f>
        <v>82.709288029507107</v>
      </c>
      <c r="J96" s="52">
        <v>27.81</v>
      </c>
      <c r="K96" s="52">
        <f t="shared" si="2"/>
        <v>86.933416692716463</v>
      </c>
      <c r="L96" s="52">
        <v>2.2000000000000002</v>
      </c>
      <c r="M96" s="52">
        <f t="shared" ref="M96" si="3">L96/H96*100</f>
        <v>29.72972972972973</v>
      </c>
    </row>
    <row r="97" spans="1:13" ht="37.5" x14ac:dyDescent="0.2">
      <c r="A97" s="29" t="s">
        <v>187</v>
      </c>
      <c r="B97" s="12" t="s">
        <v>188</v>
      </c>
      <c r="C97" s="9" t="s">
        <v>180</v>
      </c>
      <c r="D97" s="51">
        <v>100</v>
      </c>
      <c r="E97" s="51" t="s">
        <v>88</v>
      </c>
      <c r="F97" s="52">
        <v>100</v>
      </c>
      <c r="G97" s="52" t="s">
        <v>88</v>
      </c>
      <c r="H97" s="52">
        <v>100</v>
      </c>
      <c r="I97" s="52" t="s">
        <v>88</v>
      </c>
      <c r="J97" s="52">
        <v>100</v>
      </c>
      <c r="K97" s="52" t="s">
        <v>88</v>
      </c>
      <c r="L97" s="52">
        <v>100</v>
      </c>
      <c r="M97" s="52" t="s">
        <v>88</v>
      </c>
    </row>
    <row r="98" spans="1:13" ht="56.25" x14ac:dyDescent="0.2">
      <c r="A98" s="29" t="s">
        <v>189</v>
      </c>
      <c r="B98" s="12" t="s">
        <v>190</v>
      </c>
      <c r="C98" s="9" t="s">
        <v>21</v>
      </c>
      <c r="D98" s="51">
        <v>1136</v>
      </c>
      <c r="E98" s="51">
        <v>80</v>
      </c>
      <c r="F98" s="52">
        <v>1337</v>
      </c>
      <c r="G98" s="52">
        <v>82</v>
      </c>
      <c r="H98" s="52">
        <v>932</v>
      </c>
      <c r="I98" s="52">
        <f>H98/D98*100</f>
        <v>82.042253521126767</v>
      </c>
      <c r="J98" s="52">
        <v>1093</v>
      </c>
      <c r="K98" s="52">
        <f t="shared" si="2"/>
        <v>81.750186985789071</v>
      </c>
      <c r="L98" s="52">
        <v>737</v>
      </c>
      <c r="M98" s="52">
        <f>L98/H98*100</f>
        <v>79.077253218884124</v>
      </c>
    </row>
    <row r="99" spans="1:13" ht="56.25" x14ac:dyDescent="0.2">
      <c r="A99" s="29" t="s">
        <v>191</v>
      </c>
      <c r="B99" s="12" t="s">
        <v>192</v>
      </c>
      <c r="C99" s="9" t="s">
        <v>11</v>
      </c>
      <c r="D99" s="51">
        <v>2292</v>
      </c>
      <c r="E99" s="51">
        <v>87</v>
      </c>
      <c r="F99" s="52">
        <v>2915</v>
      </c>
      <c r="G99" s="52">
        <v>84</v>
      </c>
      <c r="H99" s="52">
        <v>2046</v>
      </c>
      <c r="I99" s="52">
        <f>H99/D99*100</f>
        <v>89.267015706806291</v>
      </c>
      <c r="J99" s="52">
        <v>1465</v>
      </c>
      <c r="K99" s="52">
        <f t="shared" si="2"/>
        <v>50.257289879931392</v>
      </c>
      <c r="L99" s="52">
        <v>1620</v>
      </c>
      <c r="M99" s="52">
        <f>L99/H99*100</f>
        <v>79.178885630498527</v>
      </c>
    </row>
    <row r="100" spans="1:13" ht="18.75" x14ac:dyDescent="0.2">
      <c r="A100" s="30" t="s">
        <v>193</v>
      </c>
      <c r="B100" s="41" t="s">
        <v>194</v>
      </c>
      <c r="C100" s="42"/>
      <c r="D100" s="53"/>
      <c r="E100" s="53"/>
      <c r="F100" s="52"/>
      <c r="G100" s="52"/>
      <c r="H100" s="52"/>
      <c r="I100" s="52"/>
      <c r="J100" s="55"/>
      <c r="K100" s="52"/>
      <c r="L100" s="55"/>
      <c r="M100" s="55"/>
    </row>
    <row r="101" spans="1:13" ht="37.5" x14ac:dyDescent="0.2">
      <c r="A101" s="29" t="s">
        <v>195</v>
      </c>
      <c r="B101" s="13" t="s">
        <v>196</v>
      </c>
      <c r="C101" s="9" t="s">
        <v>197</v>
      </c>
      <c r="D101" s="51">
        <v>90470</v>
      </c>
      <c r="E101" s="51">
        <f>D101/84198.5*100</f>
        <v>107.44846998461968</v>
      </c>
      <c r="F101" s="52">
        <v>101413.7</v>
      </c>
      <c r="G101" s="52">
        <f>F101/90470*100</f>
        <v>112.0964960760473</v>
      </c>
      <c r="H101" s="52">
        <v>101413.7</v>
      </c>
      <c r="I101" s="52">
        <f>H101/D101*100</f>
        <v>112.0964960760473</v>
      </c>
      <c r="J101" s="52">
        <v>115203.3</v>
      </c>
      <c r="K101" s="52">
        <f t="shared" si="2"/>
        <v>113.59737392482477</v>
      </c>
      <c r="L101" s="52">
        <v>115203.3</v>
      </c>
      <c r="M101" s="52">
        <f>L101/H101*100</f>
        <v>113.59737392482477</v>
      </c>
    </row>
    <row r="102" spans="1:13" ht="23.25" customHeight="1" x14ac:dyDescent="0.2">
      <c r="A102" s="29" t="s">
        <v>198</v>
      </c>
      <c r="B102" s="13" t="s">
        <v>199</v>
      </c>
      <c r="C102" s="9" t="s">
        <v>197</v>
      </c>
      <c r="D102" s="51">
        <v>49823.69</v>
      </c>
      <c r="E102" s="51">
        <f>D102/47722.55*100</f>
        <v>104.40282424137017</v>
      </c>
      <c r="F102" s="52">
        <v>51899.68</v>
      </c>
      <c r="G102" s="52">
        <f>F102/46621.23*100</f>
        <v>111.32198785832119</v>
      </c>
      <c r="H102" s="52">
        <v>54208.98</v>
      </c>
      <c r="I102" s="52">
        <f>H102/D102*100</f>
        <v>108.80161625925338</v>
      </c>
      <c r="J102" s="52">
        <v>55885.55</v>
      </c>
      <c r="K102" s="52">
        <f t="shared" si="2"/>
        <v>107.67995101318544</v>
      </c>
      <c r="L102" s="52">
        <f>J102*1.002</f>
        <v>55997.321100000001</v>
      </c>
      <c r="M102" s="52">
        <f>L102/H102*100</f>
        <v>103.29897574165756</v>
      </c>
    </row>
    <row r="103" spans="1:13" ht="23.25" customHeight="1" x14ac:dyDescent="0.2">
      <c r="A103" s="29" t="s">
        <v>200</v>
      </c>
      <c r="B103" s="13" t="s">
        <v>201</v>
      </c>
      <c r="C103" s="9" t="s">
        <v>197</v>
      </c>
      <c r="D103" s="51">
        <f>(D52+D55)/D9/3*1000</f>
        <v>25679.490987122164</v>
      </c>
      <c r="E103" s="51">
        <f>D103/24324.52*100</f>
        <v>105.57039146968641</v>
      </c>
      <c r="F103" s="52">
        <f>(F52+F55)/F9/12*1000</f>
        <v>26257.434512167751</v>
      </c>
      <c r="G103" s="52">
        <f>F103/24381.82*100</f>
        <v>107.69267639646158</v>
      </c>
      <c r="H103" s="52">
        <f>(H52+H55)/H9/3*1000</f>
        <v>25988.768327429643</v>
      </c>
      <c r="I103" s="52">
        <f>H103/D103*100</f>
        <v>101.20437488602316</v>
      </c>
      <c r="J103" s="52">
        <f>(J52+J55)/J9/12*1000</f>
        <v>27270.07178427633</v>
      </c>
      <c r="K103" s="52">
        <f>J103/F103*100</f>
        <v>103.85657354163568</v>
      </c>
      <c r="L103" s="52">
        <f>(L52+L55)/L9/3*1000</f>
        <v>28166.645415617397</v>
      </c>
      <c r="M103" s="52">
        <f>L103/H103*100</f>
        <v>108.3800704240729</v>
      </c>
    </row>
    <row r="104" spans="1:13" ht="23.25" customHeight="1" x14ac:dyDescent="0.2">
      <c r="A104" s="29" t="s">
        <v>202</v>
      </c>
      <c r="B104" s="13" t="s">
        <v>203</v>
      </c>
      <c r="C104" s="9" t="s">
        <v>180</v>
      </c>
      <c r="D104" s="51">
        <f>D102/46621.34/1.138*100</f>
        <v>93.909358688479145</v>
      </c>
      <c r="E104" s="51" t="s">
        <v>88</v>
      </c>
      <c r="F104" s="52">
        <f>F102/46621.24/1.138*100</f>
        <v>97.822463954627466</v>
      </c>
      <c r="G104" s="52" t="s">
        <v>88</v>
      </c>
      <c r="H104" s="52">
        <f>H102/D102/1.058*100</f>
        <v>102.83706640761187</v>
      </c>
      <c r="I104" s="52" t="s">
        <v>88</v>
      </c>
      <c r="J104" s="52">
        <f>J102/F102/1.058*100</f>
        <v>101.77689131681042</v>
      </c>
      <c r="K104" s="52" t="s">
        <v>88</v>
      </c>
      <c r="L104" s="52">
        <f>L102/H102/1.072*100</f>
        <v>96.360984833635783</v>
      </c>
      <c r="M104" s="52" t="s">
        <v>88</v>
      </c>
    </row>
    <row r="105" spans="1:13" ht="37.5" x14ac:dyDescent="0.2">
      <c r="A105" s="29" t="s">
        <v>204</v>
      </c>
      <c r="B105" s="13" t="s">
        <v>205</v>
      </c>
      <c r="C105" s="9" t="s">
        <v>197</v>
      </c>
      <c r="D105" s="51">
        <v>24897.33</v>
      </c>
      <c r="E105" s="51">
        <f>D105/23220.69*100</f>
        <v>107.22045727323351</v>
      </c>
      <c r="F105" s="52">
        <v>28100.57</v>
      </c>
      <c r="G105" s="52">
        <f>F105/24803.3*100</f>
        <v>113.29367463200461</v>
      </c>
      <c r="H105" s="52">
        <v>28225.8</v>
      </c>
      <c r="I105" s="52">
        <f>H105/D105*100</f>
        <v>113.36878291768635</v>
      </c>
      <c r="J105" s="52">
        <v>30303</v>
      </c>
      <c r="K105" s="52">
        <f t="shared" si="2"/>
        <v>107.83767019672554</v>
      </c>
      <c r="L105" s="52">
        <v>30512.45</v>
      </c>
      <c r="M105" s="52">
        <f>L105/H105*100</f>
        <v>108.10127613743454</v>
      </c>
    </row>
    <row r="106" spans="1:13" ht="37.5" x14ac:dyDescent="0.2">
      <c r="A106" s="29" t="s">
        <v>206</v>
      </c>
      <c r="B106" s="13" t="s">
        <v>207</v>
      </c>
      <c r="C106" s="9" t="s">
        <v>180</v>
      </c>
      <c r="D106" s="51">
        <f>D105/16067*100</f>
        <v>154.9594199290471</v>
      </c>
      <c r="E106" s="51" t="s">
        <v>88</v>
      </c>
      <c r="F106" s="52">
        <f>F105/16067*100</f>
        <v>174.89618472645796</v>
      </c>
      <c r="G106" s="52" t="s">
        <v>88</v>
      </c>
      <c r="H106" s="52">
        <f>H105/16951*100</f>
        <v>166.51406996637365</v>
      </c>
      <c r="I106" s="52" t="s">
        <v>88</v>
      </c>
      <c r="J106" s="52">
        <f>J105/16951*100</f>
        <v>178.76821426464517</v>
      </c>
      <c r="K106" s="52" t="s">
        <v>88</v>
      </c>
      <c r="L106" s="52">
        <f>L105/17629*100</f>
        <v>173.08100289296047</v>
      </c>
      <c r="M106" s="52" t="s">
        <v>88</v>
      </c>
    </row>
    <row r="107" spans="1:13" ht="27.75" customHeight="1" x14ac:dyDescent="0.2">
      <c r="A107" s="29" t="s">
        <v>208</v>
      </c>
      <c r="B107" s="13" t="s">
        <v>209</v>
      </c>
      <c r="C107" s="9" t="s">
        <v>210</v>
      </c>
      <c r="D107" s="51">
        <f>D52/D9/3</f>
        <v>19.693773528868768</v>
      </c>
      <c r="E107" s="51">
        <f>D107/18.42*100</f>
        <v>106.91516573761545</v>
      </c>
      <c r="F107" s="51">
        <f>F52/F9/12</f>
        <v>19.929215161328248</v>
      </c>
      <c r="G107" s="51">
        <f>F107/18.53*100</f>
        <v>107.55108020144763</v>
      </c>
      <c r="H107" s="51">
        <f>H52/H9/3</f>
        <v>19.671952002857225</v>
      </c>
      <c r="I107" s="51">
        <f>H107/D107*100</f>
        <v>99.88919581115546</v>
      </c>
      <c r="J107" s="51">
        <f>J52/J9/12</f>
        <v>20.745417461326554</v>
      </c>
      <c r="K107" s="51">
        <f>J107/F107*100</f>
        <v>104.09550648829418</v>
      </c>
      <c r="L107" s="51">
        <f>L52/L9/3</f>
        <v>21.569868137239279</v>
      </c>
      <c r="M107" s="52">
        <f>L107/H107*100</f>
        <v>109.64782820792971</v>
      </c>
    </row>
    <row r="108" spans="1:13" ht="35.25" customHeight="1" x14ac:dyDescent="0.2">
      <c r="A108" s="29" t="s">
        <v>211</v>
      </c>
      <c r="B108" s="13" t="s">
        <v>212</v>
      </c>
      <c r="C108" s="9" t="s">
        <v>210</v>
      </c>
      <c r="D108" s="51">
        <f>D55/D9/3</f>
        <v>5.9857174582533981</v>
      </c>
      <c r="E108" s="51">
        <f>D108/5.9*100</f>
        <v>101.45283827548133</v>
      </c>
      <c r="F108" s="52">
        <f>F55/F9/12</f>
        <v>6.3282193508395048</v>
      </c>
      <c r="G108" s="52">
        <f>F108/5.85*100</f>
        <v>108.17468975794027</v>
      </c>
      <c r="H108" s="52">
        <f>H55/H9/3</f>
        <v>6.3168163245724154</v>
      </c>
      <c r="I108" s="52">
        <f>H108/D108*100</f>
        <v>105.53148170838706</v>
      </c>
      <c r="J108" s="52">
        <f>J55/J9/12</f>
        <v>6.524654322949778</v>
      </c>
      <c r="K108" s="52">
        <f t="shared" si="2"/>
        <v>103.10411130240315</v>
      </c>
      <c r="L108" s="52">
        <f>L55/L9/3</f>
        <v>6.59677727837812</v>
      </c>
      <c r="M108" s="52">
        <f>L108/H108*100</f>
        <v>104.43199452731682</v>
      </c>
    </row>
    <row r="109" spans="1:13" ht="56.25" x14ac:dyDescent="0.2">
      <c r="A109" s="29" t="s">
        <v>213</v>
      </c>
      <c r="B109" s="13" t="s">
        <v>214</v>
      </c>
      <c r="C109" s="9" t="s">
        <v>215</v>
      </c>
      <c r="D109" s="51">
        <v>93.1</v>
      </c>
      <c r="E109" s="51">
        <f>D109/89.98*100</f>
        <v>103.46743720826849</v>
      </c>
      <c r="F109" s="52" t="s">
        <v>250</v>
      </c>
      <c r="G109" s="52" t="s">
        <v>88</v>
      </c>
      <c r="H109" s="52" t="s">
        <v>250</v>
      </c>
      <c r="I109" s="52" t="s">
        <v>88</v>
      </c>
      <c r="J109" s="52" t="s">
        <v>250</v>
      </c>
      <c r="K109" s="52" t="s">
        <v>88</v>
      </c>
      <c r="L109" s="52" t="s">
        <v>250</v>
      </c>
      <c r="M109" s="52" t="s">
        <v>88</v>
      </c>
    </row>
    <row r="110" spans="1:13" ht="23.25" customHeight="1" x14ac:dyDescent="0.2">
      <c r="A110" s="30" t="s">
        <v>216</v>
      </c>
      <c r="B110" s="41" t="s">
        <v>217</v>
      </c>
      <c r="C110" s="42"/>
      <c r="D110" s="53"/>
      <c r="E110" s="53"/>
      <c r="F110" s="52"/>
      <c r="G110" s="52"/>
      <c r="H110" s="52"/>
      <c r="I110" s="52"/>
      <c r="J110" s="52"/>
      <c r="K110" s="52"/>
      <c r="L110" s="52"/>
      <c r="M110" s="52"/>
    </row>
    <row r="111" spans="1:13" ht="56.25" x14ac:dyDescent="0.2">
      <c r="A111" s="29" t="s">
        <v>218</v>
      </c>
      <c r="B111" s="13" t="s">
        <v>219</v>
      </c>
      <c r="C111" s="9" t="s">
        <v>21</v>
      </c>
      <c r="D111" s="51">
        <v>1372</v>
      </c>
      <c r="E111" s="51">
        <v>101.2</v>
      </c>
      <c r="F111" s="52">
        <v>1318</v>
      </c>
      <c r="G111" s="52">
        <f>F111/1355*100</f>
        <v>97.269372693726936</v>
      </c>
      <c r="H111" s="52">
        <v>1338</v>
      </c>
      <c r="I111" s="52">
        <f>H111/D111*100</f>
        <v>97.521865889212833</v>
      </c>
      <c r="J111" s="52">
        <v>1283</v>
      </c>
      <c r="K111" s="52">
        <f>J111/F111*100</f>
        <v>97.344461305007584</v>
      </c>
      <c r="L111" s="52">
        <v>1289</v>
      </c>
      <c r="M111" s="52">
        <f>L111/H111*100</f>
        <v>96.33781763826606</v>
      </c>
    </row>
    <row r="112" spans="1:13" ht="35.25" customHeight="1" x14ac:dyDescent="0.2">
      <c r="A112" s="29" t="s">
        <v>220</v>
      </c>
      <c r="B112" s="13" t="s">
        <v>221</v>
      </c>
      <c r="C112" s="9" t="s">
        <v>11</v>
      </c>
      <c r="D112" s="51">
        <v>2926</v>
      </c>
      <c r="E112" s="51">
        <v>102</v>
      </c>
      <c r="F112" s="52">
        <v>2981</v>
      </c>
      <c r="G112" s="52">
        <f>F112/2891*100</f>
        <v>103.11310965063991</v>
      </c>
      <c r="H112" s="52">
        <v>2992</v>
      </c>
      <c r="I112" s="52">
        <f>H112/D112*100</f>
        <v>102.25563909774435</v>
      </c>
      <c r="J112" s="52">
        <v>3113</v>
      </c>
      <c r="K112" s="52">
        <f t="shared" si="2"/>
        <v>104.4280442804428</v>
      </c>
      <c r="L112" s="52">
        <v>3171</v>
      </c>
      <c r="M112" s="52">
        <f>L112/H112*100</f>
        <v>105.98262032085562</v>
      </c>
    </row>
    <row r="113" spans="1:13" ht="43.5" customHeight="1" x14ac:dyDescent="0.2">
      <c r="A113" s="29" t="s">
        <v>222</v>
      </c>
      <c r="B113" s="13" t="s">
        <v>223</v>
      </c>
      <c r="C113" s="9" t="s">
        <v>224</v>
      </c>
      <c r="D113" s="51">
        <v>16032</v>
      </c>
      <c r="E113" s="51">
        <f>D113/15334*100</f>
        <v>104.55197600104343</v>
      </c>
      <c r="F113" s="52">
        <v>16068</v>
      </c>
      <c r="G113" s="52">
        <f>F113/16020*100</f>
        <v>100.29962546816481</v>
      </c>
      <c r="H113" s="52">
        <v>16089</v>
      </c>
      <c r="I113" s="52">
        <f>H113/D113*100</f>
        <v>100.3555389221557</v>
      </c>
      <c r="J113" s="52">
        <v>16151</v>
      </c>
      <c r="K113" s="52">
        <f t="shared" si="2"/>
        <v>100.51655464276823</v>
      </c>
      <c r="L113" s="52">
        <v>16176</v>
      </c>
      <c r="M113" s="52">
        <f>L113/H113*100</f>
        <v>100.54074212194668</v>
      </c>
    </row>
    <row r="114" spans="1:13" ht="52.5" customHeight="1" x14ac:dyDescent="0.2">
      <c r="A114" s="29" t="s">
        <v>225</v>
      </c>
      <c r="B114" s="13" t="s">
        <v>226</v>
      </c>
      <c r="C114" s="9" t="s">
        <v>180</v>
      </c>
      <c r="D114" s="51">
        <f>D113/D13/10</f>
        <v>31.640023682652458</v>
      </c>
      <c r="E114" s="51" t="s">
        <v>88</v>
      </c>
      <c r="F114" s="51">
        <f t="shared" ref="F114:L114" si="4">F113/F13/10</f>
        <v>31.598820058997052</v>
      </c>
      <c r="G114" s="51" t="s">
        <v>88</v>
      </c>
      <c r="H114" s="51">
        <f t="shared" si="4"/>
        <v>31.72746992703609</v>
      </c>
      <c r="I114" s="51" t="s">
        <v>88</v>
      </c>
      <c r="J114" s="51">
        <f t="shared" si="4"/>
        <v>31.722119652747768</v>
      </c>
      <c r="K114" s="51" t="s">
        <v>88</v>
      </c>
      <c r="L114" s="51">
        <f t="shared" si="4"/>
        <v>31.737560822476848</v>
      </c>
      <c r="M114" s="52" t="s">
        <v>88</v>
      </c>
    </row>
    <row r="115" spans="1:13" ht="37.5" x14ac:dyDescent="0.2">
      <c r="A115" s="29" t="s">
        <v>227</v>
      </c>
      <c r="B115" s="13" t="s">
        <v>228</v>
      </c>
      <c r="C115" s="9" t="s">
        <v>229</v>
      </c>
      <c r="D115" s="51">
        <v>9.7899999999999991</v>
      </c>
      <c r="E115" s="51">
        <f>D115/10.5*100</f>
        <v>93.238095238095227</v>
      </c>
      <c r="F115" s="52">
        <v>40.119999999999997</v>
      </c>
      <c r="G115" s="52">
        <f>F115/39.16*100</f>
        <v>102.45148110316651</v>
      </c>
      <c r="H115" s="52">
        <v>10.11</v>
      </c>
      <c r="I115" s="52">
        <f>H115/D115*100</f>
        <v>103.26864147088865</v>
      </c>
      <c r="J115" s="52">
        <v>40.450000000000003</v>
      </c>
      <c r="K115" s="52">
        <f t="shared" si="2"/>
        <v>100.82253240279164</v>
      </c>
      <c r="L115" s="52">
        <v>10.19</v>
      </c>
      <c r="M115" s="52">
        <f>L115/H115*100</f>
        <v>100.79129574678535</v>
      </c>
    </row>
    <row r="116" spans="1:13" ht="56.25" x14ac:dyDescent="0.2">
      <c r="A116" s="29" t="s">
        <v>230</v>
      </c>
      <c r="B116" s="13" t="s">
        <v>231</v>
      </c>
      <c r="C116" s="9" t="s">
        <v>224</v>
      </c>
      <c r="D116" s="51">
        <v>2896</v>
      </c>
      <c r="E116" s="51">
        <f>D116/2839*100</f>
        <v>102.00774920746743</v>
      </c>
      <c r="F116" s="52">
        <v>3889</v>
      </c>
      <c r="G116" s="52">
        <f>F116/3704*100</f>
        <v>104.99460043196545</v>
      </c>
      <c r="H116" s="52">
        <v>4257</v>
      </c>
      <c r="I116" s="52">
        <f>H116/D116*100</f>
        <v>146.99585635359117</v>
      </c>
      <c r="J116" s="52">
        <v>5655</v>
      </c>
      <c r="K116" s="52">
        <f t="shared" si="2"/>
        <v>145.41013113911032</v>
      </c>
      <c r="L116" s="52">
        <v>6208</v>
      </c>
      <c r="M116" s="52">
        <f>L116/H116*100</f>
        <v>145.83039699318769</v>
      </c>
    </row>
    <row r="118" spans="1:13" ht="26.25" customHeight="1" x14ac:dyDescent="0.3">
      <c r="A118" s="43"/>
      <c r="B118" s="43"/>
    </row>
    <row r="119" spans="1:13" ht="26.25" customHeight="1" x14ac:dyDescent="0.2">
      <c r="A119" s="35"/>
      <c r="B119" s="35"/>
      <c r="C119" s="35"/>
      <c r="D119" s="35"/>
      <c r="E119" s="35"/>
      <c r="F119" s="35"/>
      <c r="G119" s="35"/>
      <c r="J119" s="46"/>
      <c r="K119" s="46"/>
      <c r="L119" s="46"/>
      <c r="M119" s="46"/>
    </row>
    <row r="120" spans="1:13" ht="26.25" customHeight="1" x14ac:dyDescent="0.3">
      <c r="A120" s="43"/>
      <c r="B120" s="43"/>
    </row>
    <row r="122" spans="1:13" ht="26.25" customHeight="1" x14ac:dyDescent="0.2">
      <c r="A122" s="35"/>
      <c r="B122" s="35"/>
    </row>
    <row r="123" spans="1:13" ht="35.25" customHeight="1" x14ac:dyDescent="0.2">
      <c r="A123" s="45"/>
      <c r="B123" s="45"/>
      <c r="C123" s="45"/>
    </row>
    <row r="124" spans="1:13" ht="26.25" customHeight="1" x14ac:dyDescent="0.2">
      <c r="A124" s="35"/>
      <c r="B124" s="35"/>
    </row>
  </sheetData>
  <sheetProtection algorithmName="SHA-512" hashValue="Ejhc7i+nvA5DFWeTk7oEps+pbtXLPC4Z9nbjO1E1JCIjT9ph85uDPkrsXCrkkXB53yxB7zjI32xLum9xUIKHwA==" saltValue="Jwt2rJxdEFLjCiy7zZCG/A==" spinCount="100000" sheet="1" formatCells="0" formatColumns="0" formatRows="0" insertColumns="0" insertRows="0" insertHyperlinks="0" deleteColumns="0" deleteRows="0" sort="0" autoFilter="0" pivotTables="0"/>
  <mergeCells count="26">
    <mergeCell ref="K1:M1"/>
    <mergeCell ref="A123:C123"/>
    <mergeCell ref="A119:G119"/>
    <mergeCell ref="J119:M119"/>
    <mergeCell ref="A122:B122"/>
    <mergeCell ref="B54:C54"/>
    <mergeCell ref="B57:C57"/>
    <mergeCell ref="B66:C66"/>
    <mergeCell ref="B70:C70"/>
    <mergeCell ref="B75:C75"/>
    <mergeCell ref="A124:B124"/>
    <mergeCell ref="B2:C2"/>
    <mergeCell ref="A4:M4"/>
    <mergeCell ref="B8:C8"/>
    <mergeCell ref="B12:C12"/>
    <mergeCell ref="B18:C18"/>
    <mergeCell ref="A118:B118"/>
    <mergeCell ref="A120:B120"/>
    <mergeCell ref="B29:C29"/>
    <mergeCell ref="B45:C45"/>
    <mergeCell ref="B48:C48"/>
    <mergeCell ref="B51:C51"/>
    <mergeCell ref="B81:C81"/>
    <mergeCell ref="B87:C87"/>
    <mergeCell ref="B100:C100"/>
    <mergeCell ref="B110:C110"/>
  </mergeCells>
  <pageMargins left="0.31496062992125984" right="0.11811023622047245" top="0.15748031496062992" bottom="0.15748031496062992" header="0.31496062992125984" footer="0.31496062992125984"/>
  <pageSetup paperSize="9" scale="33" fitToHeight="13" orientation="portrait" r:id="rId1"/>
  <headerFooter scaleWithDoc="0" alignWithMargins="0"/>
  <rowBreaks count="2" manualBreakCount="2">
    <brk id="18" max="12" man="1"/>
    <brk id="23" max="12" man="1"/>
  </rowBreaks>
  <ignoredErrors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Лист1!Print_Titles</vt:lpstr>
      <vt:lpstr>Лист1!Заголовки_для_печати</vt:lpstr>
      <vt:lpstr>Лист1!Область_печати</vt:lpstr>
    </vt:vector>
  </TitlesOfParts>
  <Company>AdmHmao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Kokorina</dc:creator>
  <cp:lastModifiedBy>Лали Зурабовна Буркова</cp:lastModifiedBy>
  <cp:revision>4</cp:revision>
  <cp:lastPrinted>2024-07-22T07:09:03Z</cp:lastPrinted>
  <dcterms:created xsi:type="dcterms:W3CDTF">2007-04-10T02:31:00Z</dcterms:created>
  <dcterms:modified xsi:type="dcterms:W3CDTF">2024-07-30T11:13:32Z</dcterms:modified>
  <cp:version>917504</cp:version>
</cp:coreProperties>
</file>