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33.9\общие папки\OCЭПП\ИТОГИ\2023\2023 год на Думу\Итоги\"/>
    </mc:Choice>
  </mc:AlternateContent>
  <bookViews>
    <workbookView xWindow="0" yWindow="0" windowWidth="28800" windowHeight="11730"/>
  </bookViews>
  <sheets>
    <sheet name="Лист1" sheetId="1" r:id="rId1"/>
  </sheets>
  <definedNames>
    <definedName name="Print_Titles" localSheetId="0">Лист1!$6:$6</definedName>
    <definedName name="_xlnm.Print_Titles" localSheetId="0">Лист1!$6:$6</definedName>
    <definedName name="_xlnm.Print_Area" localSheetId="0">Лист1!$A$1:$I$93</definedName>
  </definedNames>
  <calcPr calcId="162913" refMode="R1C1"/>
</workbook>
</file>

<file path=xl/calcChain.xml><?xml version="1.0" encoding="utf-8"?>
<calcChain xmlns="http://schemas.openxmlformats.org/spreadsheetml/2006/main">
  <c r="G27" i="1" l="1"/>
  <c r="G88" i="1"/>
  <c r="G89" i="1"/>
  <c r="G93" i="1"/>
  <c r="G83" i="1"/>
  <c r="G81" i="1"/>
  <c r="G80" i="1"/>
  <c r="G79" i="1"/>
  <c r="G77" i="1"/>
  <c r="G76" i="1"/>
  <c r="G75" i="1"/>
  <c r="G73" i="1"/>
  <c r="G71" i="1"/>
  <c r="G70" i="1"/>
  <c r="G69" i="1"/>
  <c r="G68" i="1"/>
  <c r="G67" i="1"/>
  <c r="G58" i="1"/>
  <c r="G56" i="1"/>
  <c r="G55" i="1"/>
  <c r="G51" i="1"/>
  <c r="G49" i="1"/>
  <c r="G48" i="1"/>
  <c r="G47" i="1"/>
  <c r="G46" i="1"/>
  <c r="G45" i="1"/>
  <c r="G42" i="1"/>
  <c r="G39" i="1"/>
  <c r="G36" i="1"/>
  <c r="G30" i="1"/>
  <c r="G25" i="1"/>
  <c r="G23" i="1"/>
  <c r="G21" i="1"/>
  <c r="G19" i="1"/>
  <c r="G17" i="1"/>
  <c r="G16" i="1"/>
  <c r="G15" i="1"/>
  <c r="G14" i="1"/>
  <c r="G13" i="1"/>
  <c r="G11" i="1"/>
  <c r="G9" i="1"/>
  <c r="I93" i="1"/>
  <c r="I92" i="1"/>
  <c r="I90" i="1"/>
  <c r="I89" i="1"/>
  <c r="I88" i="1"/>
  <c r="I86" i="1"/>
  <c r="I85" i="1"/>
  <c r="I83" i="1"/>
  <c r="I81" i="1"/>
  <c r="I80" i="1"/>
  <c r="I79" i="1"/>
  <c r="I77" i="1"/>
  <c r="I76" i="1"/>
  <c r="I75" i="1"/>
  <c r="I73" i="1"/>
  <c r="I71" i="1"/>
  <c r="I70" i="1"/>
  <c r="I69" i="1"/>
  <c r="I68" i="1"/>
  <c r="I67" i="1"/>
  <c r="I61" i="1"/>
  <c r="I51" i="1"/>
  <c r="I49" i="1"/>
  <c r="I48" i="1"/>
  <c r="I46" i="1"/>
  <c r="I45" i="1"/>
  <c r="I44" i="1"/>
  <c r="I42" i="1"/>
  <c r="I39" i="1"/>
  <c r="I36" i="1"/>
  <c r="I33" i="1"/>
  <c r="I30" i="1"/>
  <c r="I27" i="1"/>
  <c r="I25" i="1"/>
  <c r="I23" i="1"/>
  <c r="I21" i="1"/>
  <c r="I19" i="1"/>
  <c r="I17" i="1"/>
  <c r="I16" i="1"/>
  <c r="I15" i="1"/>
  <c r="I14" i="1"/>
  <c r="I13" i="1"/>
  <c r="I11" i="1"/>
  <c r="I10" i="1"/>
  <c r="I9" i="1"/>
  <c r="E47" i="1" l="1"/>
  <c r="E48" i="1"/>
  <c r="D86" i="1" l="1"/>
  <c r="D85" i="1"/>
  <c r="D81" i="1"/>
  <c r="E58" i="1"/>
  <c r="E56" i="1"/>
  <c r="E55" i="1"/>
  <c r="E13" i="1"/>
  <c r="H82" i="1" l="1"/>
  <c r="F82" i="1"/>
  <c r="G92" i="1" l="1"/>
  <c r="F91" i="1"/>
  <c r="H91" i="1"/>
  <c r="G90" i="1"/>
  <c r="H43" i="1" l="1"/>
  <c r="F43" i="1"/>
  <c r="H84" i="1" l="1"/>
  <c r="F84" i="1"/>
  <c r="G44" i="1" l="1"/>
  <c r="H86" i="1" l="1"/>
  <c r="F86" i="1"/>
  <c r="G86" i="1" s="1"/>
  <c r="H85" i="1"/>
  <c r="F85" i="1"/>
  <c r="G85" i="1" s="1"/>
  <c r="H81" i="1"/>
  <c r="F81" i="1"/>
  <c r="F40" i="1" l="1"/>
  <c r="H40" i="1"/>
  <c r="F34" i="1"/>
  <c r="H34" i="1"/>
  <c r="H28" i="1" l="1"/>
  <c r="F28" i="1"/>
  <c r="H26" i="1"/>
  <c r="F26" i="1"/>
  <c r="H24" i="1"/>
  <c r="F24" i="1"/>
  <c r="H22" i="1"/>
  <c r="F22" i="1"/>
  <c r="H30" i="1" l="1"/>
  <c r="F30" i="1"/>
  <c r="F31" i="1" l="1"/>
  <c r="H31" i="1"/>
  <c r="H19" i="1"/>
  <c r="F19" i="1"/>
  <c r="F20" i="1" l="1"/>
  <c r="H20" i="1"/>
</calcChain>
</file>

<file path=xl/sharedStrings.xml><?xml version="1.0" encoding="utf-8"?>
<sst xmlns="http://schemas.openxmlformats.org/spreadsheetml/2006/main" count="334" uniqueCount="198">
  <si>
    <t>№ п/п</t>
  </si>
  <si>
    <t>Показатели</t>
  </si>
  <si>
    <t>единицы измерения</t>
  </si>
  <si>
    <t xml:space="preserve"> 2022 год</t>
  </si>
  <si>
    <t xml:space="preserve"> 2023 год</t>
  </si>
  <si>
    <t>1.</t>
  </si>
  <si>
    <t>Демография:</t>
  </si>
  <si>
    <t>1.1.</t>
  </si>
  <si>
    <t>Численность населения (среднегодовая)</t>
  </si>
  <si>
    <t>тыс.человек</t>
  </si>
  <si>
    <t>1.2.</t>
  </si>
  <si>
    <t>человек</t>
  </si>
  <si>
    <t>1.3.</t>
  </si>
  <si>
    <t>Миграционный прирост (убыль) населения</t>
  </si>
  <si>
    <t>2.</t>
  </si>
  <si>
    <t>Труд и занятость населения:</t>
  </si>
  <si>
    <t>2.1</t>
  </si>
  <si>
    <t>Среднесписочная численность работников (без внешних совместителей) по полному кругу организаций</t>
  </si>
  <si>
    <t>2.2</t>
  </si>
  <si>
    <t>Среднесписочная численность работников (без внешних совместителей) по организациям, не относящимся к субъектам малого предпринимательства</t>
  </si>
  <si>
    <t>2.3</t>
  </si>
  <si>
    <t>единиц</t>
  </si>
  <si>
    <t>2.3.1</t>
  </si>
  <si>
    <t xml:space="preserve">        постоянные</t>
  </si>
  <si>
    <t>2.3.2</t>
  </si>
  <si>
    <t xml:space="preserve">        временные</t>
  </si>
  <si>
    <t>3.</t>
  </si>
  <si>
    <t>Объем отгруженных товаров собственного производства, выполненных работ и услуг собственными силами (по крупным и средним) производителей промышленной продукции:</t>
  </si>
  <si>
    <t>млн. рублей</t>
  </si>
  <si>
    <t>3.1</t>
  </si>
  <si>
    <t>Индекс промышленного производства</t>
  </si>
  <si>
    <t>в % к предыдущему году</t>
  </si>
  <si>
    <t>3.2</t>
  </si>
  <si>
    <t xml:space="preserve">   - добыча полезных ископаемых</t>
  </si>
  <si>
    <t>3.3</t>
  </si>
  <si>
    <t>Индекс производства</t>
  </si>
  <si>
    <t>3.4</t>
  </si>
  <si>
    <t xml:space="preserve">   - обрабатывающие производства</t>
  </si>
  <si>
    <t>3.5</t>
  </si>
  <si>
    <t>3.6</t>
  </si>
  <si>
    <t xml:space="preserve">   - обеспечение электрической энергией, газом и паром; кондиционирование воздуха</t>
  </si>
  <si>
    <t>3.7</t>
  </si>
  <si>
    <t>3.8</t>
  </si>
  <si>
    <t xml:space="preserve">   - водоснабжение; водоотведение, организация сбора и утилизации отходов, деятельность по ликвидации загрязнений</t>
  </si>
  <si>
    <t>3.9</t>
  </si>
  <si>
    <t>4.</t>
  </si>
  <si>
    <t>4.1</t>
  </si>
  <si>
    <t>тыс.кв.м</t>
  </si>
  <si>
    <t>5.</t>
  </si>
  <si>
    <t>Объем инвестиций в основной капитал:</t>
  </si>
  <si>
    <t>млн.руб.</t>
  </si>
  <si>
    <t>х</t>
  </si>
  <si>
    <t>5.1</t>
  </si>
  <si>
    <t>Индекс физического объема</t>
  </si>
  <si>
    <t>% к предыдущему году в сопоставимых ценах</t>
  </si>
  <si>
    <t>6.</t>
  </si>
  <si>
    <t xml:space="preserve">Объем работ, выполненных по виду деятельности "Строительство": </t>
  </si>
  <si>
    <t>млн.рублей</t>
  </si>
  <si>
    <t>6.1</t>
  </si>
  <si>
    <t xml:space="preserve">% к предыдущему году </t>
  </si>
  <si>
    <t>7.</t>
  </si>
  <si>
    <t>Оборот розничной торговли:</t>
  </si>
  <si>
    <t>7.1</t>
  </si>
  <si>
    <t>8.</t>
  </si>
  <si>
    <t>Объем реализации платных услуг:</t>
  </si>
  <si>
    <t>8.1</t>
  </si>
  <si>
    <t>9.</t>
  </si>
  <si>
    <t>Производство сельскохозяйственной продукции (сельскохозяйственные организации):</t>
  </si>
  <si>
    <t>9.1</t>
  </si>
  <si>
    <t>Индекс  производства</t>
  </si>
  <si>
    <t>9.2</t>
  </si>
  <si>
    <t>скот и птица (на убой в живом весе)</t>
  </si>
  <si>
    <t>тыс.тонн</t>
  </si>
  <si>
    <t>9.3</t>
  </si>
  <si>
    <t>молоко</t>
  </si>
  <si>
    <t>яйцо</t>
  </si>
  <si>
    <t>млн.штук</t>
  </si>
  <si>
    <t>картофель</t>
  </si>
  <si>
    <t>овощи</t>
  </si>
  <si>
    <t>поголовье скота</t>
  </si>
  <si>
    <t>тыс.голов</t>
  </si>
  <si>
    <t>10.</t>
  </si>
  <si>
    <t>Производство местной  пищевой продукции:</t>
  </si>
  <si>
    <t>10.1</t>
  </si>
  <si>
    <t xml:space="preserve">хлеб и хлебобулочные изделия </t>
  </si>
  <si>
    <t>тонн</t>
  </si>
  <si>
    <t>10.2</t>
  </si>
  <si>
    <t>цельномолочная продукция (в пересчете на молоко)</t>
  </si>
  <si>
    <t>10.3</t>
  </si>
  <si>
    <t>колбасные изделия</t>
  </si>
  <si>
    <t>11.</t>
  </si>
  <si>
    <t>11.1</t>
  </si>
  <si>
    <t>11.2</t>
  </si>
  <si>
    <t>11.3</t>
  </si>
  <si>
    <t>11.4</t>
  </si>
  <si>
    <t>12.</t>
  </si>
  <si>
    <t xml:space="preserve">Финансы: </t>
  </si>
  <si>
    <t>12.1</t>
  </si>
  <si>
    <t>Прибыль прибыльных предприятий</t>
  </si>
  <si>
    <t>12.2</t>
  </si>
  <si>
    <t>Кредиторская задолженность</t>
  </si>
  <si>
    <t>в т.ч. просроченная</t>
  </si>
  <si>
    <t>12.3</t>
  </si>
  <si>
    <t>Дебиторская задолженность</t>
  </si>
  <si>
    <t>13.</t>
  </si>
  <si>
    <t>13.1</t>
  </si>
  <si>
    <t>Жилые дома (общая площадь квартир)</t>
  </si>
  <si>
    <t>13.2</t>
  </si>
  <si>
    <t>Общеобразовательные школы</t>
  </si>
  <si>
    <t>уч. мест</t>
  </si>
  <si>
    <t>13.3</t>
  </si>
  <si>
    <t>Дошкольные образовательные учреждения</t>
  </si>
  <si>
    <t xml:space="preserve">мест </t>
  </si>
  <si>
    <t>13.4</t>
  </si>
  <si>
    <t>Поликлиники</t>
  </si>
  <si>
    <t>посещений в смену</t>
  </si>
  <si>
    <t>13.5</t>
  </si>
  <si>
    <t>Больницы</t>
  </si>
  <si>
    <t>койко/мест</t>
  </si>
  <si>
    <t>14.</t>
  </si>
  <si>
    <t>Жилищно- коммунальный комплекс:</t>
  </si>
  <si>
    <t>14.1</t>
  </si>
  <si>
    <t>Число организаций, оказывающих жилищно-коммунальные услуги, из них:</t>
  </si>
  <si>
    <t>число организаций на рынке жилищных услуг</t>
  </si>
  <si>
    <t>в т.ч. частной формы собственности</t>
  </si>
  <si>
    <t>число организаций, оказывающих коммунальные услуги</t>
  </si>
  <si>
    <t>14.3</t>
  </si>
  <si>
    <t>Установленный стандарт уровня платежей населения за ЖКУ</t>
  </si>
  <si>
    <t>%</t>
  </si>
  <si>
    <t>14.4</t>
  </si>
  <si>
    <t>Общая дебиторская задолженность ЖКК</t>
  </si>
  <si>
    <t>14.5</t>
  </si>
  <si>
    <t>Доля задолженности населения в общем объеме дебиторской задолженности ЖКК</t>
  </si>
  <si>
    <t>14.6</t>
  </si>
  <si>
    <t xml:space="preserve">Объем предоставленных субсидий на оплату жилого помещения и коммунальных услуг </t>
  </si>
  <si>
    <t>Число семей, получавших субсидии на оплату жилого помещения и коммунальных услуг (на конец отчетного периода)</t>
  </si>
  <si>
    <t>Численность лиц, проживающих в семьях, получавших субсидии на оплату жилого помещения и коммунальных услуг (на конец отчетного периода)</t>
  </si>
  <si>
    <t>Уровень жизни населения:</t>
  </si>
  <si>
    <t>Среднемесячная номинальная начисленная заработная плата одного работника по крупным и средним предприятиям</t>
  </si>
  <si>
    <t>рублей</t>
  </si>
  <si>
    <t>Среднедушевые  денежные доходы населения</t>
  </si>
  <si>
    <t>Потребительские расходы на душу населения</t>
  </si>
  <si>
    <t>Реальные располагаемые денежные доходы неселения</t>
  </si>
  <si>
    <t>Средний размер дохода пенсионера (на конец года отчетного периода)</t>
  </si>
  <si>
    <t xml:space="preserve">Соотношение среднемесячного дохода  и прожиточного минимума пенсионера </t>
  </si>
  <si>
    <t>Оборот розничной торговли на 1 жителя</t>
  </si>
  <si>
    <t>тыс.рублей</t>
  </si>
  <si>
    <t>Объем реализации платных услуг на 1 жителя</t>
  </si>
  <si>
    <t>Показатели развития малого и среднего предпринимательства:</t>
  </si>
  <si>
    <t>Количество субъектов малого и среднего предпринимательства (без учета индивидуальных предпринимателей)</t>
  </si>
  <si>
    <t>Индивидуальные предприниматели</t>
  </si>
  <si>
    <t>Среднесписочная численность работающих на малых и средних предприятиях</t>
  </si>
  <si>
    <t>тыс. человек</t>
  </si>
  <si>
    <t>Доля работающих на предприятиях малого и среднего предпринимательства в общей численности работающих</t>
  </si>
  <si>
    <t>Оборот предприятий малого и среднего предпринимательства</t>
  </si>
  <si>
    <t>млрд рублей</t>
  </si>
  <si>
    <t>Количество самозанятых граждан, зафиксировавших свой статус и применяющих специальных налоговый режим «Налог на профессиональный доход», нарастающим итогом</t>
  </si>
  <si>
    <t>в действующих ценах каждого года</t>
  </si>
  <si>
    <t xml:space="preserve">в действующих ценах каждого года </t>
  </si>
  <si>
    <t>1</t>
  </si>
  <si>
    <t>Естественный прирост (убыль) населения</t>
  </si>
  <si>
    <t>Ввод в действие жилых домов и объектов соцкультбыта:</t>
  </si>
  <si>
    <t>Темп роста
2022 года к
2021 году,
%</t>
  </si>
  <si>
    <t>Темп роста
2023 года к
2022 году, 
%</t>
  </si>
  <si>
    <t>Вновь созданные рабочие места, в том числе</t>
  </si>
  <si>
    <t>в 2,3 раза</t>
  </si>
  <si>
    <t>в 3,5 раза</t>
  </si>
  <si>
    <t>-</t>
  </si>
  <si>
    <t>Приложение №1</t>
  </si>
  <si>
    <t>Динамика основных показателей социально-экономического развития
муниципального образования город Нефтеюганск
за   2023 год</t>
  </si>
  <si>
    <t xml:space="preserve"> 2021 год</t>
  </si>
  <si>
    <t>Темп роста
2021 года к
2020 году,
%</t>
  </si>
  <si>
    <t>в 2,4 р.</t>
  </si>
  <si>
    <t>в 2 р.</t>
  </si>
  <si>
    <t>в 1,6 р.</t>
  </si>
  <si>
    <t>в 2,5 р.</t>
  </si>
  <si>
    <t>в 2,2  р.</t>
  </si>
  <si>
    <t>8.2</t>
  </si>
  <si>
    <t>8.3</t>
  </si>
  <si>
    <t>8.4</t>
  </si>
  <si>
    <t>8.5</t>
  </si>
  <si>
    <t>8.6</t>
  </si>
  <si>
    <t>8.7</t>
  </si>
  <si>
    <t>10.2.1</t>
  </si>
  <si>
    <t>10.3.1</t>
  </si>
  <si>
    <t>11.5</t>
  </si>
  <si>
    <t>12.1.1</t>
  </si>
  <si>
    <t>12.1.2</t>
  </si>
  <si>
    <t>12.1.3</t>
  </si>
  <si>
    <t>12.1.4</t>
  </si>
  <si>
    <t>12.4</t>
  </si>
  <si>
    <t>12.5</t>
  </si>
  <si>
    <t>12.6</t>
  </si>
  <si>
    <t>12.7</t>
  </si>
  <si>
    <t>13.6</t>
  </si>
  <si>
    <t>13.7</t>
  </si>
  <si>
    <t>13.8</t>
  </si>
  <si>
    <t>14.2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</si>
</sst>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2" x14ac:knownFonts="1">
    <font>
      <sz val="10"/>
      <color theme="1"/>
      <name val="Arial Cyr"/>
    </font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0"/>
      <name val="Arial"/>
    </font>
    <font>
      <sz val="10"/>
      <name val="Times New Roman Cyr"/>
    </font>
    <font>
      <sz val="20"/>
      <name val="Times New Roman Cyr"/>
    </font>
    <font>
      <sz val="12"/>
      <name val="Times New Roman Cyr"/>
    </font>
    <font>
      <sz val="14"/>
      <name val="Times New Roman Cyr"/>
    </font>
    <font>
      <sz val="16"/>
      <name val="Times New Roman Cyr"/>
    </font>
    <font>
      <sz val="16"/>
      <color theme="0"/>
      <name val="Times New Roman Cyr"/>
    </font>
    <font>
      <sz val="10"/>
      <color theme="1"/>
      <name val="Arial Cyr"/>
    </font>
    <font>
      <sz val="12"/>
      <color theme="1"/>
      <name val="Arial Cyr"/>
    </font>
    <font>
      <sz val="14"/>
      <name val="Times New Roman"/>
      <family val="1"/>
      <charset val="204"/>
    </font>
    <font>
      <b/>
      <sz val="14"/>
      <name val="Times New Roman Cyr"/>
    </font>
    <font>
      <sz val="14"/>
      <name val="Arial Cyr"/>
    </font>
    <font>
      <sz val="14"/>
      <color indexed="2"/>
      <name val="Times New Roman Cyr"/>
    </font>
    <font>
      <b/>
      <sz val="14"/>
      <name val="Times New Roman"/>
      <family val="1"/>
      <charset val="204"/>
    </font>
    <font>
      <sz val="14"/>
      <color theme="1"/>
      <name val="Arial Cyr"/>
    </font>
    <font>
      <b/>
      <sz val="14"/>
      <color indexed="2"/>
      <name val="Times New Roman Cyr"/>
    </font>
    <font>
      <sz val="14"/>
      <color indexed="4"/>
      <name val="Times New Roman Cyr"/>
    </font>
    <font>
      <b/>
      <sz val="16"/>
      <name val="Times New Roman Cyr"/>
      <charset val="204"/>
    </font>
    <font>
      <b/>
      <sz val="18"/>
      <name val="Times New Roman Cy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</borders>
  <cellStyleXfs count="70">
    <xf numFmtId="0" fontId="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" fillId="0" borderId="0"/>
    <xf numFmtId="0" fontId="3" fillId="0" borderId="0"/>
    <xf numFmtId="0" fontId="10" fillId="0" borderId="0"/>
    <xf numFmtId="0" fontId="10" fillId="0" borderId="0"/>
  </cellStyleXfs>
  <cellXfs count="72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Fill="1"/>
    <xf numFmtId="0" fontId="6" fillId="0" borderId="0" xfId="0" applyFont="1" applyFill="1"/>
    <xf numFmtId="165" fontId="7" fillId="0" borderId="0" xfId="0" applyNumberFormat="1" applyFont="1" applyFill="1"/>
    <xf numFmtId="164" fontId="8" fillId="0" borderId="0" xfId="0" applyNumberFormat="1" applyFont="1" applyFill="1" applyAlignment="1">
      <alignment horizontal="center" vertical="center"/>
    </xf>
    <xf numFmtId="2" fontId="9" fillId="0" borderId="0" xfId="0" applyNumberFormat="1" applyFont="1" applyFill="1"/>
    <xf numFmtId="164" fontId="8" fillId="0" borderId="0" xfId="0" applyNumberFormat="1" applyFont="1" applyFill="1"/>
    <xf numFmtId="0" fontId="7" fillId="0" borderId="2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 applyProtection="1">
      <alignment horizontal="left" vertical="center" wrapText="1"/>
    </xf>
    <xf numFmtId="0" fontId="12" fillId="0" borderId="2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/>
    </xf>
    <xf numFmtId="0" fontId="17" fillId="0" borderId="0" xfId="0" applyFont="1" applyFill="1"/>
    <xf numFmtId="0" fontId="18" fillId="0" borderId="0" xfId="0" applyFont="1" applyFill="1"/>
    <xf numFmtId="0" fontId="19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/>
    </xf>
    <xf numFmtId="49" fontId="13" fillId="0" borderId="5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49" fontId="13" fillId="0" borderId="8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/>
    </xf>
    <xf numFmtId="4" fontId="15" fillId="0" borderId="4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/>
    </xf>
    <xf numFmtId="3" fontId="12" fillId="0" borderId="2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3" xfId="0" applyFont="1" applyFill="1" applyBorder="1"/>
    <xf numFmtId="0" fontId="14" fillId="0" borderId="0" xfId="0" applyFont="1" applyFill="1" applyAlignment="1">
      <alignment horizontal="center" vertical="center"/>
    </xf>
    <xf numFmtId="0" fontId="14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left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12" fillId="0" borderId="9" xfId="0" applyFont="1" applyFill="1" applyBorder="1" applyAlignment="1" applyProtection="1">
      <alignment horizontal="center" vertical="center" wrapText="1"/>
    </xf>
    <xf numFmtId="0" fontId="14" fillId="0" borderId="3" xfId="0" applyFont="1" applyFill="1" applyBorder="1" applyAlignment="1">
      <alignment horizontal="left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/>
    </xf>
    <xf numFmtId="0" fontId="14" fillId="0" borderId="1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</cellXfs>
  <cellStyles count="70">
    <cellStyle name="Гиперссылка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4" xfId="6"/>
    <cellStyle name="Обычный 15" xfId="7"/>
    <cellStyle name="Обычный 16" xfId="8"/>
    <cellStyle name="Обычный 17" xfId="9"/>
    <cellStyle name="Обычный 18" xfId="10"/>
    <cellStyle name="Обычный 19" xfId="11"/>
    <cellStyle name="Обычный 2" xfId="12"/>
    <cellStyle name="Обычный 2 10" xfId="13"/>
    <cellStyle name="Обычный 2 11" xfId="14"/>
    <cellStyle name="Обычный 2 12" xfId="15"/>
    <cellStyle name="Обычный 2 13" xfId="16"/>
    <cellStyle name="Обычный 2 14" xfId="17"/>
    <cellStyle name="Обычный 2 15" xfId="18"/>
    <cellStyle name="Обычный 2 16" xfId="19"/>
    <cellStyle name="Обычный 2 17" xfId="20"/>
    <cellStyle name="Обычный 2 18" xfId="21"/>
    <cellStyle name="Обычный 2 19" xfId="22"/>
    <cellStyle name="Обычный 2 2" xfId="23"/>
    <cellStyle name="Обычный 2 20" xfId="24"/>
    <cellStyle name="Обычный 2 21" xfId="25"/>
    <cellStyle name="Обычный 2 22" xfId="26"/>
    <cellStyle name="Обычный 2 23" xfId="27"/>
    <cellStyle name="Обычный 2 24" xfId="28"/>
    <cellStyle name="Обычный 2 25" xfId="29"/>
    <cellStyle name="Обычный 2 26" xfId="30"/>
    <cellStyle name="Обычный 2 27" xfId="31"/>
    <cellStyle name="Обычный 2 28" xfId="32"/>
    <cellStyle name="Обычный 2 29" xfId="33"/>
    <cellStyle name="Обычный 2 3" xfId="34"/>
    <cellStyle name="Обычный 2 30" xfId="35"/>
    <cellStyle name="Обычный 2 4" xfId="36"/>
    <cellStyle name="Обычный 2 5" xfId="37"/>
    <cellStyle name="Обычный 2 6" xfId="38"/>
    <cellStyle name="Обычный 2 7" xfId="39"/>
    <cellStyle name="Обычный 2 8" xfId="40"/>
    <cellStyle name="Обычный 2 9" xfId="41"/>
    <cellStyle name="Обычный 2_диаграммы к уточн. прогн." xfId="42"/>
    <cellStyle name="Обычный 20" xfId="43"/>
    <cellStyle name="Обычный 21" xfId="44"/>
    <cellStyle name="Обычный 22" xfId="45"/>
    <cellStyle name="Обычный 23" xfId="46"/>
    <cellStyle name="Обычный 24" xfId="47"/>
    <cellStyle name="Обычный 25" xfId="48"/>
    <cellStyle name="Обычный 26" xfId="49"/>
    <cellStyle name="Обычный 27" xfId="50"/>
    <cellStyle name="Обычный 28" xfId="51"/>
    <cellStyle name="Обычный 29" xfId="52"/>
    <cellStyle name="Обычный 3" xfId="53"/>
    <cellStyle name="Обычный 3 2" xfId="54"/>
    <cellStyle name="Обычный 30" xfId="55"/>
    <cellStyle name="Обычный 31" xfId="56"/>
    <cellStyle name="Обычный 32" xfId="57"/>
    <cellStyle name="Обычный 33" xfId="58"/>
    <cellStyle name="Обычный 34" xfId="59"/>
    <cellStyle name="Обычный 35" xfId="60"/>
    <cellStyle name="Обычный 36" xfId="61"/>
    <cellStyle name="Обычный 37" xfId="62"/>
    <cellStyle name="Обычный 38" xfId="63"/>
    <cellStyle name="Обычный 4" xfId="64"/>
    <cellStyle name="Обычный 4 2" xfId="65"/>
    <cellStyle name="Обычный 5" xfId="66"/>
    <cellStyle name="Обычный 6" xfId="67"/>
    <cellStyle name="Обычный 7" xfId="68"/>
    <cellStyle name="Обычный 8" xfId="69"/>
  </cellStyles>
  <dxfs count="0"/>
  <tableStyles count="0" defaultTableStyle="TableStyleMedium2" defaultPivotStyle="PivotStyleLight16"/>
  <colors>
    <mruColors>
      <color rgb="FFFFCCFF"/>
      <color rgb="FFCCFF33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101"/>
  <sheetViews>
    <sheetView tabSelected="1" view="pageBreakPreview" zoomScale="55" zoomScaleNormal="55" zoomScaleSheetLayoutView="5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6" sqref="F6"/>
    </sheetView>
  </sheetViews>
  <sheetFormatPr defaultColWidth="34.28515625" defaultRowHeight="26.25" customHeight="1" x14ac:dyDescent="0.2"/>
  <cols>
    <col min="1" max="1" width="11.5703125" style="1" customWidth="1"/>
    <col min="2" max="2" width="76" style="2" customWidth="1"/>
    <col min="3" max="3" width="23.28515625" style="1" customWidth="1"/>
    <col min="4" max="4" width="20.5703125" style="1" customWidth="1"/>
    <col min="5" max="5" width="20.85546875" style="1" customWidth="1"/>
    <col min="6" max="6" width="17.140625" style="44" customWidth="1"/>
    <col min="7" max="7" width="18.7109375" style="44" customWidth="1"/>
    <col min="8" max="9" width="18.28515625" style="2" customWidth="1"/>
    <col min="10" max="253" width="34.28515625" style="2"/>
    <col min="254" max="16384" width="34.28515625" style="3"/>
  </cols>
  <sheetData>
    <row r="1" spans="1:253" s="22" customFormat="1" ht="51.75" customHeight="1" x14ac:dyDescent="0.3">
      <c r="A1" s="20"/>
      <c r="B1" s="23"/>
      <c r="C1" s="24"/>
      <c r="D1" s="24"/>
      <c r="E1" s="24"/>
      <c r="F1" s="18"/>
      <c r="G1" s="18"/>
      <c r="H1" s="19"/>
      <c r="I1" s="51" t="s">
        <v>168</v>
      </c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  <c r="HG1" s="19"/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19"/>
      <c r="IA1" s="19"/>
      <c r="IB1" s="19"/>
      <c r="IC1" s="19"/>
      <c r="ID1" s="19"/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  <c r="IQ1" s="19"/>
      <c r="IR1" s="19"/>
      <c r="IS1" s="19"/>
    </row>
    <row r="2" spans="1:253" s="19" customFormat="1" ht="18.75" x14ac:dyDescent="0.3">
      <c r="A2" s="20"/>
      <c r="B2" s="64"/>
      <c r="C2" s="65"/>
      <c r="D2" s="47"/>
      <c r="E2" s="47"/>
      <c r="F2" s="18"/>
      <c r="G2" s="18"/>
    </row>
    <row r="3" spans="1:253" s="19" customFormat="1" ht="18.75" x14ac:dyDescent="0.3">
      <c r="A3" s="20"/>
      <c r="B3" s="25"/>
      <c r="C3" s="31"/>
      <c r="D3" s="47"/>
      <c r="E3" s="47"/>
      <c r="F3" s="18"/>
      <c r="G3" s="18"/>
    </row>
    <row r="4" spans="1:253" s="4" customFormat="1" ht="98.25" customHeight="1" x14ac:dyDescent="0.25">
      <c r="A4" s="66" t="s">
        <v>169</v>
      </c>
      <c r="B4" s="66"/>
      <c r="C4" s="66"/>
      <c r="D4" s="66"/>
      <c r="E4" s="66"/>
      <c r="F4" s="66"/>
      <c r="G4" s="66"/>
      <c r="H4" s="66"/>
      <c r="I4" s="66"/>
    </row>
    <row r="5" spans="1:253" s="22" customFormat="1" ht="18.75" x14ac:dyDescent="0.3">
      <c r="A5" s="20"/>
      <c r="B5" s="21"/>
      <c r="C5" s="18"/>
      <c r="D5" s="18"/>
      <c r="E5" s="18"/>
      <c r="F5" s="18"/>
      <c r="G5" s="18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  <c r="IQ5" s="19"/>
      <c r="IR5" s="19"/>
      <c r="IS5" s="19"/>
    </row>
    <row r="6" spans="1:253" ht="178.5" customHeight="1" x14ac:dyDescent="0.2">
      <c r="A6" s="26" t="s">
        <v>0</v>
      </c>
      <c r="B6" s="17" t="s">
        <v>1</v>
      </c>
      <c r="C6" s="17" t="s">
        <v>2</v>
      </c>
      <c r="D6" s="32" t="s">
        <v>170</v>
      </c>
      <c r="E6" s="32" t="s">
        <v>171</v>
      </c>
      <c r="F6" s="32" t="s">
        <v>3</v>
      </c>
      <c r="G6" s="32" t="s">
        <v>162</v>
      </c>
      <c r="H6" s="32" t="s">
        <v>4</v>
      </c>
      <c r="I6" s="32" t="s">
        <v>163</v>
      </c>
    </row>
    <row r="7" spans="1:253" s="10" customFormat="1" ht="18.75" x14ac:dyDescent="0.25">
      <c r="A7" s="27" t="s">
        <v>159</v>
      </c>
      <c r="B7" s="11">
        <v>2</v>
      </c>
      <c r="C7" s="11">
        <v>3</v>
      </c>
      <c r="D7" s="11">
        <v>4</v>
      </c>
      <c r="E7" s="11">
        <v>5</v>
      </c>
      <c r="F7" s="33">
        <v>6</v>
      </c>
      <c r="G7" s="33">
        <v>7</v>
      </c>
      <c r="H7" s="33">
        <v>8</v>
      </c>
      <c r="I7" s="33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</row>
    <row r="8" spans="1:253" ht="24" customHeight="1" x14ac:dyDescent="0.2">
      <c r="A8" s="28" t="s">
        <v>5</v>
      </c>
      <c r="B8" s="67" t="s">
        <v>6</v>
      </c>
      <c r="C8" s="68"/>
      <c r="D8" s="48"/>
      <c r="E8" s="48"/>
      <c r="F8" s="34"/>
      <c r="G8" s="34"/>
      <c r="H8" s="35"/>
      <c r="I8" s="35"/>
    </row>
    <row r="9" spans="1:253" ht="22.5" customHeight="1" x14ac:dyDescent="0.2">
      <c r="A9" s="29" t="s">
        <v>7</v>
      </c>
      <c r="B9" s="12" t="s">
        <v>8</v>
      </c>
      <c r="C9" s="9" t="s">
        <v>9</v>
      </c>
      <c r="D9" s="9">
        <v>128.41999999999999</v>
      </c>
      <c r="E9" s="9">
        <v>100.56</v>
      </c>
      <c r="F9" s="37">
        <v>124.756</v>
      </c>
      <c r="G9" s="37">
        <f>F9/128.42*100</f>
        <v>97.146861859523455</v>
      </c>
      <c r="H9" s="37">
        <v>125.84</v>
      </c>
      <c r="I9" s="37">
        <f>H9/F9*100</f>
        <v>100.86889608515823</v>
      </c>
    </row>
    <row r="10" spans="1:253" ht="21.75" customHeight="1" x14ac:dyDescent="0.2">
      <c r="A10" s="29" t="s">
        <v>10</v>
      </c>
      <c r="B10" s="13" t="s">
        <v>160</v>
      </c>
      <c r="C10" s="9" t="s">
        <v>11</v>
      </c>
      <c r="D10" s="9">
        <v>247</v>
      </c>
      <c r="E10" s="9">
        <v>54.89</v>
      </c>
      <c r="F10" s="39">
        <v>514</v>
      </c>
      <c r="G10" s="37" t="s">
        <v>173</v>
      </c>
      <c r="H10" s="39">
        <v>458</v>
      </c>
      <c r="I10" s="37">
        <f>H10/F10*100</f>
        <v>89.105058365758765</v>
      </c>
    </row>
    <row r="11" spans="1:253" ht="18.75" customHeight="1" x14ac:dyDescent="0.2">
      <c r="A11" s="29" t="s">
        <v>12</v>
      </c>
      <c r="B11" s="13" t="s">
        <v>13</v>
      </c>
      <c r="C11" s="9" t="s">
        <v>11</v>
      </c>
      <c r="D11" s="9">
        <v>279</v>
      </c>
      <c r="E11" s="9">
        <v>60.56</v>
      </c>
      <c r="F11" s="39">
        <v>-120</v>
      </c>
      <c r="G11" s="37">
        <f>F11/279*100</f>
        <v>-43.01075268817204</v>
      </c>
      <c r="H11" s="39">
        <v>-44</v>
      </c>
      <c r="I11" s="37">
        <f>H11/F11*100</f>
        <v>36.666666666666664</v>
      </c>
    </row>
    <row r="12" spans="1:253" ht="18.75" x14ac:dyDescent="0.2">
      <c r="A12" s="30" t="s">
        <v>14</v>
      </c>
      <c r="B12" s="62" t="s">
        <v>15</v>
      </c>
      <c r="C12" s="63"/>
      <c r="D12" s="50"/>
      <c r="E12" s="50"/>
      <c r="F12" s="37"/>
      <c r="G12" s="37"/>
      <c r="H12" s="37"/>
      <c r="I12" s="37"/>
    </row>
    <row r="13" spans="1:253" ht="53.25" customHeight="1" x14ac:dyDescent="0.2">
      <c r="A13" s="29" t="s">
        <v>16</v>
      </c>
      <c r="B13" s="12" t="s">
        <v>17</v>
      </c>
      <c r="C13" s="14" t="s">
        <v>9</v>
      </c>
      <c r="D13" s="53">
        <v>50.8</v>
      </c>
      <c r="E13" s="53">
        <f>D13/50.798*100</f>
        <v>100.00393716288043</v>
      </c>
      <c r="F13" s="37">
        <v>50.85</v>
      </c>
      <c r="G13" s="37">
        <f>F13/50.8*100</f>
        <v>100.0984251968504</v>
      </c>
      <c r="H13" s="37">
        <v>50.914000000000001</v>
      </c>
      <c r="I13" s="37">
        <f>H13/F13*100</f>
        <v>100.125860373648</v>
      </c>
    </row>
    <row r="14" spans="1:253" ht="56.25" x14ac:dyDescent="0.2">
      <c r="A14" s="29" t="s">
        <v>18</v>
      </c>
      <c r="B14" s="12" t="s">
        <v>19</v>
      </c>
      <c r="C14" s="14" t="s">
        <v>9</v>
      </c>
      <c r="D14" s="14">
        <v>42.85</v>
      </c>
      <c r="E14" s="14">
        <v>101.3</v>
      </c>
      <c r="F14" s="37">
        <v>43.173000000000002</v>
      </c>
      <c r="G14" s="37">
        <f>F14/42.85*100</f>
        <v>100.75379229871646</v>
      </c>
      <c r="H14" s="37">
        <v>42.715000000000003</v>
      </c>
      <c r="I14" s="37">
        <f>H14/F14*100</f>
        <v>98.939151784680249</v>
      </c>
    </row>
    <row r="15" spans="1:253" ht="21.75" customHeight="1" x14ac:dyDescent="0.2">
      <c r="A15" s="29" t="s">
        <v>20</v>
      </c>
      <c r="B15" s="12" t="s">
        <v>164</v>
      </c>
      <c r="C15" s="14" t="s">
        <v>21</v>
      </c>
      <c r="D15" s="40">
        <v>1397</v>
      </c>
      <c r="E15" s="14" t="s">
        <v>172</v>
      </c>
      <c r="F15" s="39">
        <v>1255</v>
      </c>
      <c r="G15" s="37">
        <f>F15/1397*100</f>
        <v>89.835361488904795</v>
      </c>
      <c r="H15" s="39">
        <v>1298</v>
      </c>
      <c r="I15" s="37">
        <f>H15/F15*100</f>
        <v>103.42629482071712</v>
      </c>
    </row>
    <row r="16" spans="1:253" ht="23.25" customHeight="1" x14ac:dyDescent="0.2">
      <c r="A16" s="29" t="s">
        <v>22</v>
      </c>
      <c r="B16" s="12" t="s">
        <v>23</v>
      </c>
      <c r="C16" s="14"/>
      <c r="D16" s="40">
        <v>14</v>
      </c>
      <c r="E16" s="14" t="s">
        <v>174</v>
      </c>
      <c r="F16" s="39">
        <v>14</v>
      </c>
      <c r="G16" s="37">
        <f>F16/14*100</f>
        <v>100</v>
      </c>
      <c r="H16" s="39">
        <v>13</v>
      </c>
      <c r="I16" s="37">
        <f>H16/F16*100</f>
        <v>92.857142857142861</v>
      </c>
    </row>
    <row r="17" spans="1:12" ht="23.25" customHeight="1" x14ac:dyDescent="0.2">
      <c r="A17" s="29" t="s">
        <v>24</v>
      </c>
      <c r="B17" s="12" t="s">
        <v>25</v>
      </c>
      <c r="C17" s="14"/>
      <c r="D17" s="40">
        <v>1383</v>
      </c>
      <c r="E17" s="14" t="s">
        <v>175</v>
      </c>
      <c r="F17" s="39">
        <v>1241</v>
      </c>
      <c r="G17" s="37">
        <f>F17/1383*100</f>
        <v>89.73246565437455</v>
      </c>
      <c r="H17" s="39">
        <v>1285</v>
      </c>
      <c r="I17" s="37">
        <f>H17/F17*100</f>
        <v>103.54552780016115</v>
      </c>
    </row>
    <row r="18" spans="1:12" ht="72.75" customHeight="1" x14ac:dyDescent="0.2">
      <c r="A18" s="30" t="s">
        <v>26</v>
      </c>
      <c r="B18" s="62" t="s">
        <v>27</v>
      </c>
      <c r="C18" s="62"/>
      <c r="D18" s="49"/>
      <c r="E18" s="49"/>
      <c r="F18" s="37"/>
      <c r="G18" s="37"/>
      <c r="H18" s="41"/>
      <c r="I18" s="37"/>
    </row>
    <row r="19" spans="1:12" ht="23.25" customHeight="1" x14ac:dyDescent="0.3">
      <c r="A19" s="29"/>
      <c r="B19" s="13" t="s">
        <v>157</v>
      </c>
      <c r="C19" s="9" t="s">
        <v>28</v>
      </c>
      <c r="D19" s="36">
        <v>116800.26</v>
      </c>
      <c r="E19" s="9">
        <v>133.16</v>
      </c>
      <c r="F19" s="42">
        <f>F21+F23+F25+F27</f>
        <v>133371.6</v>
      </c>
      <c r="G19" s="37">
        <f>F19/116800.26*100</f>
        <v>114.18775951354905</v>
      </c>
      <c r="H19" s="42">
        <f>H21+H23+H25+H27</f>
        <v>150930.40000000002</v>
      </c>
      <c r="I19" s="37">
        <f>H19/F19*100</f>
        <v>113.16532155271439</v>
      </c>
      <c r="L19" s="5"/>
    </row>
    <row r="20" spans="1:12" ht="79.5" customHeight="1" x14ac:dyDescent="0.2">
      <c r="A20" s="29" t="s">
        <v>29</v>
      </c>
      <c r="B20" s="13" t="s">
        <v>30</v>
      </c>
      <c r="C20" s="9" t="s">
        <v>31</v>
      </c>
      <c r="D20" s="9">
        <v>103.7</v>
      </c>
      <c r="E20" s="9" t="s">
        <v>51</v>
      </c>
      <c r="F20" s="37">
        <f>F19/116800.26/107.4*10000</f>
        <v>106.32007403496186</v>
      </c>
      <c r="G20" s="37" t="s">
        <v>51</v>
      </c>
      <c r="H20" s="37">
        <f>H19/F19/102.6*10000</f>
        <v>110.29758435937076</v>
      </c>
      <c r="I20" s="37" t="s">
        <v>51</v>
      </c>
      <c r="J20" s="6"/>
    </row>
    <row r="21" spans="1:12" ht="56.25" x14ac:dyDescent="0.3">
      <c r="A21" s="29" t="s">
        <v>32</v>
      </c>
      <c r="B21" s="13" t="s">
        <v>33</v>
      </c>
      <c r="C21" s="9" t="s">
        <v>31</v>
      </c>
      <c r="D21" s="36">
        <v>82938.78</v>
      </c>
      <c r="E21" s="9">
        <v>143.52000000000001</v>
      </c>
      <c r="F21" s="42">
        <v>95904.8</v>
      </c>
      <c r="G21" s="37">
        <f>F21/82938.78*100</f>
        <v>115.63324177182255</v>
      </c>
      <c r="H21" s="42">
        <v>107584.2</v>
      </c>
      <c r="I21" s="37">
        <f>H21/F21*100</f>
        <v>112.17811830064815</v>
      </c>
      <c r="J21" s="7"/>
      <c r="L21" s="5"/>
    </row>
    <row r="22" spans="1:12" ht="56.25" x14ac:dyDescent="0.3">
      <c r="A22" s="29" t="s">
        <v>34</v>
      </c>
      <c r="B22" s="13" t="s">
        <v>35</v>
      </c>
      <c r="C22" s="9" t="s">
        <v>31</v>
      </c>
      <c r="D22" s="9">
        <v>91.88</v>
      </c>
      <c r="E22" s="9" t="s">
        <v>51</v>
      </c>
      <c r="F22" s="42">
        <f>F21/82938.78/114.9*10000</f>
        <v>100.63815645937559</v>
      </c>
      <c r="G22" s="37" t="s">
        <v>51</v>
      </c>
      <c r="H22" s="42">
        <f>H21/F21/98.9*10000</f>
        <v>113.42580212401226</v>
      </c>
      <c r="I22" s="37" t="s">
        <v>51</v>
      </c>
      <c r="J22" s="7"/>
      <c r="L22" s="5"/>
    </row>
    <row r="23" spans="1:12" ht="23.25" customHeight="1" x14ac:dyDescent="0.3">
      <c r="A23" s="29" t="s">
        <v>36</v>
      </c>
      <c r="B23" s="13" t="s">
        <v>37</v>
      </c>
      <c r="C23" s="9" t="s">
        <v>28</v>
      </c>
      <c r="D23" s="36">
        <v>11640.7</v>
      </c>
      <c r="E23" s="9">
        <v>124.23</v>
      </c>
      <c r="F23" s="42">
        <v>10641.8</v>
      </c>
      <c r="G23" s="37">
        <f>F23/11640.7*100</f>
        <v>91.418900925202081</v>
      </c>
      <c r="H23" s="42">
        <v>12798.8</v>
      </c>
      <c r="I23" s="37">
        <f>H23/F23*100</f>
        <v>120.26912740325886</v>
      </c>
      <c r="J23" s="7"/>
      <c r="L23" s="5"/>
    </row>
    <row r="24" spans="1:12" ht="56.25" x14ac:dyDescent="0.3">
      <c r="A24" s="29" t="s">
        <v>38</v>
      </c>
      <c r="B24" s="13" t="s">
        <v>35</v>
      </c>
      <c r="C24" s="9" t="s">
        <v>31</v>
      </c>
      <c r="D24" s="9">
        <v>100.67</v>
      </c>
      <c r="E24" s="9" t="s">
        <v>51</v>
      </c>
      <c r="F24" s="42">
        <f>F23/11640.7/105.3*10000</f>
        <v>86.817569729536643</v>
      </c>
      <c r="G24" s="37" t="s">
        <v>51</v>
      </c>
      <c r="H24" s="42">
        <f>H23/F23/103*10000</f>
        <v>116.76614310996005</v>
      </c>
      <c r="I24" s="37" t="s">
        <v>51</v>
      </c>
      <c r="J24" s="7"/>
      <c r="L24" s="5"/>
    </row>
    <row r="25" spans="1:12" ht="37.5" x14ac:dyDescent="0.3">
      <c r="A25" s="29" t="s">
        <v>39</v>
      </c>
      <c r="B25" s="13" t="s">
        <v>40</v>
      </c>
      <c r="C25" s="9" t="s">
        <v>28</v>
      </c>
      <c r="D25" s="36">
        <v>14571.57</v>
      </c>
      <c r="E25" s="9">
        <v>100.29</v>
      </c>
      <c r="F25" s="42">
        <v>16372.7</v>
      </c>
      <c r="G25" s="37">
        <f>F25/14571.57*100</f>
        <v>112.36057610813386</v>
      </c>
      <c r="H25" s="42">
        <v>19792.2</v>
      </c>
      <c r="I25" s="37">
        <f>H25/F25*100</f>
        <v>120.8853762665901</v>
      </c>
      <c r="J25" s="7"/>
      <c r="L25" s="5"/>
    </row>
    <row r="26" spans="1:12" ht="56.25" x14ac:dyDescent="0.3">
      <c r="A26" s="29" t="s">
        <v>41</v>
      </c>
      <c r="B26" s="13" t="s">
        <v>35</v>
      </c>
      <c r="C26" s="9" t="s">
        <v>31</v>
      </c>
      <c r="D26" s="54">
        <v>108</v>
      </c>
      <c r="E26" s="9" t="s">
        <v>51</v>
      </c>
      <c r="F26" s="42">
        <f>F25/14571.57/103.9*10000</f>
        <v>108.14299914161103</v>
      </c>
      <c r="G26" s="37" t="s">
        <v>51</v>
      </c>
      <c r="H26" s="42">
        <f>H25/F25/111.4*10000</f>
        <v>108.5147004188421</v>
      </c>
      <c r="I26" s="37" t="s">
        <v>51</v>
      </c>
      <c r="J26" s="7"/>
      <c r="L26" s="5"/>
    </row>
    <row r="27" spans="1:12" ht="56.25" x14ac:dyDescent="0.3">
      <c r="A27" s="29" t="s">
        <v>42</v>
      </c>
      <c r="B27" s="13" t="s">
        <v>43</v>
      </c>
      <c r="C27" s="9" t="s">
        <v>28</v>
      </c>
      <c r="D27" s="36">
        <v>7649.21</v>
      </c>
      <c r="E27" s="9">
        <v>105.88</v>
      </c>
      <c r="F27" s="42">
        <v>10452.299999999999</v>
      </c>
      <c r="G27" s="37">
        <f>F27/D27*100</f>
        <v>136.64548365125287</v>
      </c>
      <c r="H27" s="42">
        <v>10755.2</v>
      </c>
      <c r="I27" s="37">
        <f>H27/F27*100</f>
        <v>102.89792677209802</v>
      </c>
      <c r="J27" s="7"/>
      <c r="L27" s="5"/>
    </row>
    <row r="28" spans="1:12" ht="56.25" x14ac:dyDescent="0.3">
      <c r="A28" s="29" t="s">
        <v>44</v>
      </c>
      <c r="B28" s="13" t="s">
        <v>35</v>
      </c>
      <c r="C28" s="9" t="s">
        <v>31</v>
      </c>
      <c r="D28" s="9">
        <v>94.37</v>
      </c>
      <c r="E28" s="9" t="s">
        <v>51</v>
      </c>
      <c r="F28" s="42">
        <f>F27/7649.13/101.9*10000</f>
        <v>134.0990311934838</v>
      </c>
      <c r="G28" s="37" t="s">
        <v>51</v>
      </c>
      <c r="H28" s="42">
        <f>H27/F27/108.4*10000</f>
        <v>94.924286690127317</v>
      </c>
      <c r="I28" s="37" t="s">
        <v>51</v>
      </c>
      <c r="J28" s="8"/>
    </row>
    <row r="29" spans="1:12" ht="23.25" customHeight="1" x14ac:dyDescent="0.2">
      <c r="A29" s="30" t="s">
        <v>45</v>
      </c>
      <c r="B29" s="62" t="s">
        <v>49</v>
      </c>
      <c r="C29" s="63"/>
      <c r="D29" s="50"/>
      <c r="E29" s="50"/>
      <c r="F29" s="37"/>
      <c r="G29" s="37"/>
      <c r="H29" s="37"/>
      <c r="I29" s="37"/>
    </row>
    <row r="30" spans="1:12" ht="23.25" customHeight="1" x14ac:dyDescent="0.2">
      <c r="A30" s="29"/>
      <c r="B30" s="13" t="s">
        <v>158</v>
      </c>
      <c r="C30" s="9" t="s">
        <v>50</v>
      </c>
      <c r="D30" s="36">
        <v>24127.79</v>
      </c>
      <c r="E30" s="9">
        <v>93.32</v>
      </c>
      <c r="F30" s="37">
        <f>331964*124756/1000000</f>
        <v>41414.500784000003</v>
      </c>
      <c r="G30" s="37">
        <f>F30/24127.79*100</f>
        <v>171.64647397876061</v>
      </c>
      <c r="H30" s="37">
        <f>263668*125840/1000000</f>
        <v>33179.981119999997</v>
      </c>
      <c r="I30" s="37">
        <f>H30/F30*100</f>
        <v>80.11682017622843</v>
      </c>
    </row>
    <row r="31" spans="1:12" ht="54.75" customHeight="1" x14ac:dyDescent="0.2">
      <c r="A31" s="29" t="s">
        <v>46</v>
      </c>
      <c r="B31" s="15" t="s">
        <v>53</v>
      </c>
      <c r="C31" s="16" t="s">
        <v>54</v>
      </c>
      <c r="D31" s="16">
        <v>88.97</v>
      </c>
      <c r="E31" s="16" t="s">
        <v>51</v>
      </c>
      <c r="F31" s="37">
        <f>F30/24127.79/114.6*10000</f>
        <v>149.77877310537576</v>
      </c>
      <c r="G31" s="37" t="s">
        <v>51</v>
      </c>
      <c r="H31" s="37">
        <f>H30/F30/107*10000</f>
        <v>74.875532874979839</v>
      </c>
      <c r="I31" s="37" t="s">
        <v>51</v>
      </c>
    </row>
    <row r="32" spans="1:12" ht="23.25" customHeight="1" x14ac:dyDescent="0.2">
      <c r="A32" s="30" t="s">
        <v>48</v>
      </c>
      <c r="B32" s="62" t="s">
        <v>56</v>
      </c>
      <c r="C32" s="63"/>
      <c r="D32" s="50"/>
      <c r="E32" s="50"/>
      <c r="F32" s="37"/>
      <c r="G32" s="37"/>
      <c r="H32" s="41"/>
      <c r="I32" s="37"/>
    </row>
    <row r="33" spans="1:9" ht="23.25" customHeight="1" x14ac:dyDescent="0.2">
      <c r="A33" s="29"/>
      <c r="B33" s="13" t="s">
        <v>157</v>
      </c>
      <c r="C33" s="9" t="s">
        <v>57</v>
      </c>
      <c r="D33" s="36">
        <v>7151.49</v>
      </c>
      <c r="E33" s="9">
        <v>100.06</v>
      </c>
      <c r="F33" s="37">
        <v>16133.4</v>
      </c>
      <c r="G33" s="37" t="s">
        <v>165</v>
      </c>
      <c r="H33" s="37">
        <v>18177.5</v>
      </c>
      <c r="I33" s="37">
        <f>H33/F33*100</f>
        <v>112.66998896698775</v>
      </c>
    </row>
    <row r="34" spans="1:9" ht="44.25" customHeight="1" x14ac:dyDescent="0.2">
      <c r="A34" s="29" t="s">
        <v>52</v>
      </c>
      <c r="B34" s="15" t="s">
        <v>53</v>
      </c>
      <c r="C34" s="16" t="s">
        <v>59</v>
      </c>
      <c r="D34" s="55">
        <v>93.52</v>
      </c>
      <c r="E34" s="55" t="s">
        <v>51</v>
      </c>
      <c r="F34" s="43">
        <f>F33/7014.5/110.7*10000</f>
        <v>207.76938826484283</v>
      </c>
      <c r="G34" s="43" t="s">
        <v>51</v>
      </c>
      <c r="H34" s="37">
        <f>H33/F33/105.8*10000</f>
        <v>106.49337331473323</v>
      </c>
      <c r="I34" s="43" t="s">
        <v>51</v>
      </c>
    </row>
    <row r="35" spans="1:9" ht="23.25" customHeight="1" x14ac:dyDescent="0.2">
      <c r="A35" s="30" t="s">
        <v>55</v>
      </c>
      <c r="B35" s="62" t="s">
        <v>61</v>
      </c>
      <c r="C35" s="70"/>
      <c r="D35" s="56"/>
      <c r="E35" s="56"/>
      <c r="F35" s="45"/>
      <c r="G35" s="45"/>
      <c r="I35" s="46"/>
    </row>
    <row r="36" spans="1:9" ht="23.25" customHeight="1" x14ac:dyDescent="0.2">
      <c r="A36" s="29"/>
      <c r="B36" s="13" t="s">
        <v>157</v>
      </c>
      <c r="C36" s="9" t="s">
        <v>57</v>
      </c>
      <c r="D36" s="57">
        <v>28550.69</v>
      </c>
      <c r="E36" s="58">
        <v>105.5</v>
      </c>
      <c r="F36" s="34">
        <v>29835.47</v>
      </c>
      <c r="G36" s="34">
        <f>F36/28550.69*100</f>
        <v>104.49999632233057</v>
      </c>
      <c r="H36" s="37">
        <v>31327.24</v>
      </c>
      <c r="I36" s="34">
        <f>H36/F36*100</f>
        <v>104.99998826899659</v>
      </c>
    </row>
    <row r="37" spans="1:9" ht="44.25" customHeight="1" x14ac:dyDescent="0.2">
      <c r="A37" s="29" t="s">
        <v>58</v>
      </c>
      <c r="B37" s="15" t="s">
        <v>53</v>
      </c>
      <c r="C37" s="16" t="s">
        <v>59</v>
      </c>
      <c r="D37" s="16">
        <v>97.59</v>
      </c>
      <c r="E37" s="16" t="s">
        <v>51</v>
      </c>
      <c r="F37" s="42">
        <v>90.55</v>
      </c>
      <c r="G37" s="37" t="s">
        <v>51</v>
      </c>
      <c r="H37" s="42">
        <v>100.48</v>
      </c>
      <c r="I37" s="37" t="s">
        <v>51</v>
      </c>
    </row>
    <row r="38" spans="1:9" ht="23.25" customHeight="1" x14ac:dyDescent="0.2">
      <c r="A38" s="30" t="s">
        <v>60</v>
      </c>
      <c r="B38" s="62" t="s">
        <v>64</v>
      </c>
      <c r="C38" s="63"/>
      <c r="D38" s="50"/>
      <c r="E38" s="50"/>
      <c r="F38" s="37"/>
      <c r="G38" s="37"/>
      <c r="H38" s="41"/>
      <c r="I38" s="37"/>
    </row>
    <row r="39" spans="1:9" ht="23.25" customHeight="1" x14ac:dyDescent="0.2">
      <c r="A39" s="29"/>
      <c r="B39" s="13" t="s">
        <v>157</v>
      </c>
      <c r="C39" s="9" t="s">
        <v>57</v>
      </c>
      <c r="D39" s="36">
        <v>9022.67</v>
      </c>
      <c r="E39" s="54">
        <v>103</v>
      </c>
      <c r="F39" s="42">
        <v>9473.7999999999993</v>
      </c>
      <c r="G39" s="37">
        <f>F39/9022.67*100</f>
        <v>104.99996120882177</v>
      </c>
      <c r="H39" s="42">
        <v>9852.75</v>
      </c>
      <c r="I39" s="37">
        <f>H39/F39*100</f>
        <v>103.99997888914692</v>
      </c>
    </row>
    <row r="40" spans="1:9" ht="38.25" customHeight="1" x14ac:dyDescent="0.2">
      <c r="A40" s="29" t="s">
        <v>62</v>
      </c>
      <c r="B40" s="15" t="s">
        <v>53</v>
      </c>
      <c r="C40" s="16" t="s">
        <v>59</v>
      </c>
      <c r="D40" s="16">
        <v>98.66</v>
      </c>
      <c r="E40" s="16" t="s">
        <v>51</v>
      </c>
      <c r="F40" s="42">
        <f>F39/9022.67/108.2*10000</f>
        <v>97.042478011850065</v>
      </c>
      <c r="G40" s="37" t="s">
        <v>51</v>
      </c>
      <c r="H40" s="42">
        <f>H39/F39/111*10000</f>
        <v>93.693674674907129</v>
      </c>
      <c r="I40" s="37" t="s">
        <v>51</v>
      </c>
    </row>
    <row r="41" spans="1:9" ht="36.75" customHeight="1" x14ac:dyDescent="0.2">
      <c r="A41" s="30" t="s">
        <v>63</v>
      </c>
      <c r="B41" s="62" t="s">
        <v>67</v>
      </c>
      <c r="C41" s="63"/>
      <c r="D41" s="50"/>
      <c r="E41" s="50"/>
      <c r="F41" s="37"/>
      <c r="G41" s="37"/>
      <c r="H41" s="41"/>
      <c r="I41" s="37"/>
    </row>
    <row r="42" spans="1:9" ht="23.25" customHeight="1" x14ac:dyDescent="0.2">
      <c r="A42" s="29"/>
      <c r="B42" s="15" t="s">
        <v>157</v>
      </c>
      <c r="C42" s="9" t="s">
        <v>28</v>
      </c>
      <c r="D42" s="54">
        <v>119.6</v>
      </c>
      <c r="E42" s="9">
        <v>50.63</v>
      </c>
      <c r="F42" s="37">
        <v>139.68</v>
      </c>
      <c r="G42" s="37">
        <f>F42/119.6*100</f>
        <v>116.78929765886288</v>
      </c>
      <c r="H42" s="37">
        <v>141.21</v>
      </c>
      <c r="I42" s="37">
        <f>H42/F42*100</f>
        <v>101.09536082474226</v>
      </c>
    </row>
    <row r="43" spans="1:9" ht="56.25" x14ac:dyDescent="0.2">
      <c r="A43" s="29" t="s">
        <v>65</v>
      </c>
      <c r="B43" s="15" t="s">
        <v>69</v>
      </c>
      <c r="C43" s="9" t="s">
        <v>31</v>
      </c>
      <c r="D43" s="9">
        <v>42.89</v>
      </c>
      <c r="E43" s="9" t="s">
        <v>51</v>
      </c>
      <c r="F43" s="37">
        <f>F42/119.6/1.042*100</f>
        <v>112.08185955744997</v>
      </c>
      <c r="G43" s="37" t="s">
        <v>51</v>
      </c>
      <c r="H43" s="37">
        <f>H42/F42/1.007*100</f>
        <v>100.39261253698339</v>
      </c>
      <c r="I43" s="37" t="s">
        <v>51</v>
      </c>
    </row>
    <row r="44" spans="1:9" ht="23.25" customHeight="1" x14ac:dyDescent="0.2">
      <c r="A44" s="29" t="s">
        <v>177</v>
      </c>
      <c r="B44" s="13" t="s">
        <v>71</v>
      </c>
      <c r="C44" s="9" t="s">
        <v>72</v>
      </c>
      <c r="D44" s="9">
        <v>0.18</v>
      </c>
      <c r="E44" s="54">
        <v>75</v>
      </c>
      <c r="F44" s="37">
        <v>0.17</v>
      </c>
      <c r="G44" s="37">
        <f>F44/0.18*100</f>
        <v>94.444444444444457</v>
      </c>
      <c r="H44" s="37">
        <v>6.0499999999999998E-2</v>
      </c>
      <c r="I44" s="37">
        <f>H44/F44*100</f>
        <v>35.588235294117645</v>
      </c>
    </row>
    <row r="45" spans="1:9" ht="23.25" customHeight="1" x14ac:dyDescent="0.2">
      <c r="A45" s="29" t="s">
        <v>178</v>
      </c>
      <c r="B45" s="13" t="s">
        <v>74</v>
      </c>
      <c r="C45" s="9" t="s">
        <v>72</v>
      </c>
      <c r="D45" s="9">
        <v>2.35</v>
      </c>
      <c r="E45" s="9">
        <v>99.58</v>
      </c>
      <c r="F45" s="37">
        <v>1.579</v>
      </c>
      <c r="G45" s="37">
        <f>F45/D45*100</f>
        <v>67.191489361702125</v>
      </c>
      <c r="H45" s="37">
        <v>1.0580000000000001</v>
      </c>
      <c r="I45" s="37">
        <f>H45/F45*100</f>
        <v>67.004433185560487</v>
      </c>
    </row>
    <row r="46" spans="1:9" ht="23.25" customHeight="1" x14ac:dyDescent="0.2">
      <c r="A46" s="29" t="s">
        <v>179</v>
      </c>
      <c r="B46" s="13" t="s">
        <v>75</v>
      </c>
      <c r="C46" s="9" t="s">
        <v>76</v>
      </c>
      <c r="D46" s="9">
        <v>0.51</v>
      </c>
      <c r="E46" s="9">
        <v>130.77000000000001</v>
      </c>
      <c r="F46" s="37">
        <v>0.51</v>
      </c>
      <c r="G46" s="37">
        <f>F46/D46*100</f>
        <v>100</v>
      </c>
      <c r="H46" s="37">
        <v>0.1512</v>
      </c>
      <c r="I46" s="37">
        <f>H46/F46*100</f>
        <v>29.647058823529409</v>
      </c>
    </row>
    <row r="47" spans="1:9" ht="23.25" customHeight="1" x14ac:dyDescent="0.2">
      <c r="A47" s="29" t="s">
        <v>180</v>
      </c>
      <c r="B47" s="13" t="s">
        <v>77</v>
      </c>
      <c r="C47" s="9" t="s">
        <v>72</v>
      </c>
      <c r="D47" s="54">
        <v>1.4489000000000001</v>
      </c>
      <c r="E47" s="54">
        <f>D47/2.0935*100</f>
        <v>69.209457845712919</v>
      </c>
      <c r="F47" s="37">
        <v>1.3586</v>
      </c>
      <c r="G47" s="37">
        <f>F47/D47*100</f>
        <v>93.767685830630128</v>
      </c>
      <c r="H47" s="37" t="s">
        <v>167</v>
      </c>
      <c r="I47" s="37" t="s">
        <v>51</v>
      </c>
    </row>
    <row r="48" spans="1:9" ht="23.25" customHeight="1" x14ac:dyDescent="0.2">
      <c r="A48" s="29" t="s">
        <v>181</v>
      </c>
      <c r="B48" s="13" t="s">
        <v>78</v>
      </c>
      <c r="C48" s="9" t="s">
        <v>72</v>
      </c>
      <c r="D48" s="54">
        <v>0.49199999999999999</v>
      </c>
      <c r="E48" s="54">
        <f>D48/0.6557*100</f>
        <v>75.034314473082205</v>
      </c>
      <c r="F48" s="37">
        <v>0.48599999999999999</v>
      </c>
      <c r="G48" s="37">
        <f>F48/D48*100</f>
        <v>98.780487804878049</v>
      </c>
      <c r="H48" s="37">
        <v>0.47660000000000002</v>
      </c>
      <c r="I48" s="37">
        <f>H48/F48*100</f>
        <v>98.065843621399182</v>
      </c>
    </row>
    <row r="49" spans="1:9" ht="23.25" customHeight="1" x14ac:dyDescent="0.2">
      <c r="A49" s="29" t="s">
        <v>182</v>
      </c>
      <c r="B49" s="13" t="s">
        <v>79</v>
      </c>
      <c r="C49" s="9" t="s">
        <v>80</v>
      </c>
      <c r="D49" s="9">
        <v>3.99</v>
      </c>
      <c r="E49" s="54">
        <v>105</v>
      </c>
      <c r="F49" s="37">
        <v>3.42</v>
      </c>
      <c r="G49" s="37">
        <f>F49/3.99*100</f>
        <v>85.714285714285708</v>
      </c>
      <c r="H49" s="37">
        <v>1.1930000000000001</v>
      </c>
      <c r="I49" s="37">
        <f>H49/F49*100</f>
        <v>34.883040935672518</v>
      </c>
    </row>
    <row r="50" spans="1:9" ht="23.25" customHeight="1" x14ac:dyDescent="0.2">
      <c r="A50" s="30" t="s">
        <v>66</v>
      </c>
      <c r="B50" s="62" t="s">
        <v>82</v>
      </c>
      <c r="C50" s="63"/>
      <c r="D50" s="59"/>
      <c r="E50" s="59"/>
      <c r="F50" s="37"/>
      <c r="G50" s="37"/>
      <c r="H50" s="41"/>
      <c r="I50" s="37"/>
    </row>
    <row r="51" spans="1:9" ht="23.25" customHeight="1" x14ac:dyDescent="0.2">
      <c r="A51" s="29" t="s">
        <v>68</v>
      </c>
      <c r="B51" s="13" t="s">
        <v>84</v>
      </c>
      <c r="C51" s="9" t="s">
        <v>85</v>
      </c>
      <c r="D51" s="36">
        <v>1216.6600000000001</v>
      </c>
      <c r="E51" s="9">
        <v>55.11</v>
      </c>
      <c r="F51" s="37">
        <v>1270</v>
      </c>
      <c r="G51" s="37">
        <f>F51/1216.66*100</f>
        <v>104.38413361169101</v>
      </c>
      <c r="H51" s="37">
        <v>1213.0899999999999</v>
      </c>
      <c r="I51" s="37">
        <f>H51/F51*100</f>
        <v>95.518897637795263</v>
      </c>
    </row>
    <row r="52" spans="1:9" ht="23.25" customHeight="1" x14ac:dyDescent="0.2">
      <c r="A52" s="29" t="s">
        <v>70</v>
      </c>
      <c r="B52" s="13" t="s">
        <v>87</v>
      </c>
      <c r="C52" s="9" t="s">
        <v>85</v>
      </c>
      <c r="D52" s="54">
        <v>0</v>
      </c>
      <c r="E52" s="9" t="s">
        <v>51</v>
      </c>
      <c r="F52" s="37">
        <v>0</v>
      </c>
      <c r="G52" s="37" t="s">
        <v>51</v>
      </c>
      <c r="H52" s="37">
        <v>0</v>
      </c>
      <c r="I52" s="37" t="s">
        <v>51</v>
      </c>
    </row>
    <row r="53" spans="1:9" ht="23.25" customHeight="1" x14ac:dyDescent="0.2">
      <c r="A53" s="29" t="s">
        <v>73</v>
      </c>
      <c r="B53" s="13" t="s">
        <v>89</v>
      </c>
      <c r="C53" s="9" t="s">
        <v>85</v>
      </c>
      <c r="D53" s="54">
        <v>0</v>
      </c>
      <c r="E53" s="9" t="s">
        <v>51</v>
      </c>
      <c r="F53" s="37">
        <v>0</v>
      </c>
      <c r="G53" s="37" t="s">
        <v>51</v>
      </c>
      <c r="H53" s="37">
        <v>10</v>
      </c>
      <c r="I53" s="37" t="s">
        <v>51</v>
      </c>
    </row>
    <row r="54" spans="1:9" ht="18.75" x14ac:dyDescent="0.2">
      <c r="A54" s="30" t="s">
        <v>81</v>
      </c>
      <c r="B54" s="62" t="s">
        <v>96</v>
      </c>
      <c r="C54" s="63"/>
      <c r="D54" s="50"/>
      <c r="E54" s="50"/>
      <c r="F54" s="37"/>
      <c r="G54" s="37"/>
      <c r="H54" s="41"/>
      <c r="I54" s="37"/>
    </row>
    <row r="55" spans="1:9" ht="23.25" customHeight="1" x14ac:dyDescent="0.2">
      <c r="A55" s="29" t="s">
        <v>83</v>
      </c>
      <c r="B55" s="13" t="s">
        <v>98</v>
      </c>
      <c r="C55" s="9" t="s">
        <v>57</v>
      </c>
      <c r="D55" s="36">
        <v>15058.697</v>
      </c>
      <c r="E55" s="54">
        <f>D55/32919.804*100</f>
        <v>45.743580368826017</v>
      </c>
      <c r="F55" s="37">
        <v>20665.324000000001</v>
      </c>
      <c r="G55" s="37">
        <f>F55/D55*100</f>
        <v>137.23182025642723</v>
      </c>
      <c r="H55" s="37" t="s">
        <v>167</v>
      </c>
      <c r="I55" s="37" t="s">
        <v>51</v>
      </c>
    </row>
    <row r="56" spans="1:9" ht="23.25" customHeight="1" x14ac:dyDescent="0.2">
      <c r="A56" s="29" t="s">
        <v>86</v>
      </c>
      <c r="B56" s="13" t="s">
        <v>100</v>
      </c>
      <c r="C56" s="9" t="s">
        <v>57</v>
      </c>
      <c r="D56" s="36">
        <v>83092.413</v>
      </c>
      <c r="E56" s="54">
        <f>D56/74624.614*100</f>
        <v>111.34719303204703</v>
      </c>
      <c r="F56" s="37">
        <v>91069.072</v>
      </c>
      <c r="G56" s="37">
        <f>F56/D56*100</f>
        <v>109.59974408253134</v>
      </c>
      <c r="H56" s="37">
        <v>30.71</v>
      </c>
      <c r="I56" s="37" t="s">
        <v>51</v>
      </c>
    </row>
    <row r="57" spans="1:9" ht="23.25" customHeight="1" x14ac:dyDescent="0.2">
      <c r="A57" s="29" t="s">
        <v>183</v>
      </c>
      <c r="B57" s="13" t="s">
        <v>101</v>
      </c>
      <c r="C57" s="9" t="s">
        <v>57</v>
      </c>
      <c r="D57" s="36" t="s">
        <v>167</v>
      </c>
      <c r="E57" s="9" t="s">
        <v>51</v>
      </c>
      <c r="F57" s="37" t="s">
        <v>167</v>
      </c>
      <c r="G57" s="37" t="s">
        <v>51</v>
      </c>
      <c r="H57" s="37" t="s">
        <v>167</v>
      </c>
      <c r="I57" s="37" t="s">
        <v>51</v>
      </c>
    </row>
    <row r="58" spans="1:9" ht="23.25" customHeight="1" x14ac:dyDescent="0.2">
      <c r="A58" s="29" t="s">
        <v>88</v>
      </c>
      <c r="B58" s="13" t="s">
        <v>103</v>
      </c>
      <c r="C58" s="9" t="s">
        <v>57</v>
      </c>
      <c r="D58" s="36">
        <v>193399.076</v>
      </c>
      <c r="E58" s="54">
        <f>D58/127319.621*100</f>
        <v>151.9004490281981</v>
      </c>
      <c r="F58" s="37">
        <v>144697.242</v>
      </c>
      <c r="G58" s="37">
        <f>F58/D58*100</f>
        <v>74.817959316413692</v>
      </c>
      <c r="H58" s="37">
        <v>26320.58</v>
      </c>
      <c r="I58" s="37" t="s">
        <v>51</v>
      </c>
    </row>
    <row r="59" spans="1:9" ht="23.25" customHeight="1" x14ac:dyDescent="0.2">
      <c r="A59" s="29" t="s">
        <v>184</v>
      </c>
      <c r="B59" s="13" t="s">
        <v>101</v>
      </c>
      <c r="C59" s="9" t="s">
        <v>57</v>
      </c>
      <c r="D59" s="36" t="s">
        <v>167</v>
      </c>
      <c r="E59" s="9" t="s">
        <v>51</v>
      </c>
      <c r="F59" s="37">
        <v>564.75</v>
      </c>
      <c r="G59" s="37" t="s">
        <v>51</v>
      </c>
      <c r="H59" s="37">
        <v>500.56</v>
      </c>
      <c r="I59" s="37" t="s">
        <v>51</v>
      </c>
    </row>
    <row r="60" spans="1:9" ht="18.75" x14ac:dyDescent="0.2">
      <c r="A60" s="30" t="s">
        <v>90</v>
      </c>
      <c r="B60" s="62" t="s">
        <v>161</v>
      </c>
      <c r="C60" s="63"/>
      <c r="D60" s="50"/>
      <c r="E60" s="50"/>
      <c r="F60" s="37"/>
      <c r="G60" s="37"/>
      <c r="H60" s="41"/>
      <c r="I60" s="37"/>
    </row>
    <row r="61" spans="1:9" ht="23.25" customHeight="1" x14ac:dyDescent="0.2">
      <c r="A61" s="29" t="s">
        <v>91</v>
      </c>
      <c r="B61" s="13" t="s">
        <v>106</v>
      </c>
      <c r="C61" s="9" t="s">
        <v>47</v>
      </c>
      <c r="D61" s="9">
        <v>18.420000000000002</v>
      </c>
      <c r="E61" s="9">
        <v>27.47</v>
      </c>
      <c r="F61" s="37">
        <v>65.423000000000002</v>
      </c>
      <c r="G61" s="37" t="s">
        <v>166</v>
      </c>
      <c r="H61" s="37">
        <v>97.641000000000005</v>
      </c>
      <c r="I61" s="37">
        <f>H61/F61*100</f>
        <v>149.24567812542989</v>
      </c>
    </row>
    <row r="62" spans="1:9" ht="23.25" customHeight="1" x14ac:dyDescent="0.2">
      <c r="A62" s="29" t="s">
        <v>92</v>
      </c>
      <c r="B62" s="13" t="s">
        <v>108</v>
      </c>
      <c r="C62" s="9" t="s">
        <v>109</v>
      </c>
      <c r="D62" s="54">
        <v>0</v>
      </c>
      <c r="E62" s="9" t="s">
        <v>51</v>
      </c>
      <c r="F62" s="37">
        <v>0</v>
      </c>
      <c r="G62" s="37" t="s">
        <v>51</v>
      </c>
      <c r="H62" s="37">
        <v>0</v>
      </c>
      <c r="I62" s="37" t="s">
        <v>51</v>
      </c>
    </row>
    <row r="63" spans="1:9" ht="23.25" customHeight="1" x14ac:dyDescent="0.2">
      <c r="A63" s="29" t="s">
        <v>93</v>
      </c>
      <c r="B63" s="13" t="s">
        <v>111</v>
      </c>
      <c r="C63" s="9" t="s">
        <v>112</v>
      </c>
      <c r="D63" s="54">
        <v>0</v>
      </c>
      <c r="E63" s="9" t="s">
        <v>51</v>
      </c>
      <c r="F63" s="37">
        <v>0</v>
      </c>
      <c r="G63" s="37" t="s">
        <v>51</v>
      </c>
      <c r="H63" s="37">
        <v>0</v>
      </c>
      <c r="I63" s="37" t="s">
        <v>51</v>
      </c>
    </row>
    <row r="64" spans="1:9" ht="37.5" x14ac:dyDescent="0.2">
      <c r="A64" s="29" t="s">
        <v>94</v>
      </c>
      <c r="B64" s="13" t="s">
        <v>114</v>
      </c>
      <c r="C64" s="9" t="s">
        <v>115</v>
      </c>
      <c r="D64" s="54">
        <v>0</v>
      </c>
      <c r="E64" s="9" t="s">
        <v>51</v>
      </c>
      <c r="F64" s="37">
        <v>0</v>
      </c>
      <c r="G64" s="37" t="s">
        <v>51</v>
      </c>
      <c r="H64" s="37">
        <v>0</v>
      </c>
      <c r="I64" s="37" t="s">
        <v>51</v>
      </c>
    </row>
    <row r="65" spans="1:9" ht="23.25" customHeight="1" x14ac:dyDescent="0.2">
      <c r="A65" s="29" t="s">
        <v>185</v>
      </c>
      <c r="B65" s="13" t="s">
        <v>117</v>
      </c>
      <c r="C65" s="9" t="s">
        <v>118</v>
      </c>
      <c r="D65" s="54">
        <v>0</v>
      </c>
      <c r="E65" s="9" t="s">
        <v>51</v>
      </c>
      <c r="F65" s="37">
        <v>0</v>
      </c>
      <c r="G65" s="37" t="s">
        <v>51</v>
      </c>
      <c r="H65" s="37">
        <v>0</v>
      </c>
      <c r="I65" s="37" t="s">
        <v>51</v>
      </c>
    </row>
    <row r="66" spans="1:9" ht="18.75" x14ac:dyDescent="0.2">
      <c r="A66" s="30" t="s">
        <v>95</v>
      </c>
      <c r="B66" s="62" t="s">
        <v>120</v>
      </c>
      <c r="C66" s="63"/>
      <c r="D66" s="50"/>
      <c r="E66" s="50"/>
      <c r="F66" s="37"/>
      <c r="G66" s="37"/>
      <c r="H66" s="41"/>
      <c r="I66" s="37"/>
    </row>
    <row r="67" spans="1:9" ht="37.5" x14ac:dyDescent="0.2">
      <c r="A67" s="29" t="s">
        <v>97</v>
      </c>
      <c r="B67" s="13" t="s">
        <v>122</v>
      </c>
      <c r="C67" s="9" t="s">
        <v>21</v>
      </c>
      <c r="D67" s="9">
        <v>26</v>
      </c>
      <c r="E67" s="9">
        <v>96.3</v>
      </c>
      <c r="F67" s="39">
        <v>27</v>
      </c>
      <c r="G67" s="37">
        <f>F67/D67*100</f>
        <v>103.84615384615385</v>
      </c>
      <c r="H67" s="39">
        <v>24</v>
      </c>
      <c r="I67" s="37">
        <f>H67/F67*100</f>
        <v>88.888888888888886</v>
      </c>
    </row>
    <row r="68" spans="1:9" ht="23.25" customHeight="1" x14ac:dyDescent="0.2">
      <c r="A68" s="29" t="s">
        <v>186</v>
      </c>
      <c r="B68" s="12" t="s">
        <v>123</v>
      </c>
      <c r="C68" s="9" t="s">
        <v>21</v>
      </c>
      <c r="D68" s="9">
        <v>21</v>
      </c>
      <c r="E68" s="9">
        <v>95.45</v>
      </c>
      <c r="F68" s="39">
        <v>22</v>
      </c>
      <c r="G68" s="37">
        <f>F68/D68*100</f>
        <v>104.76190476190477</v>
      </c>
      <c r="H68" s="39">
        <v>19</v>
      </c>
      <c r="I68" s="37">
        <f>H68/F68*100</f>
        <v>86.36363636363636</v>
      </c>
    </row>
    <row r="69" spans="1:9" ht="23.25" customHeight="1" x14ac:dyDescent="0.2">
      <c r="A69" s="29" t="s">
        <v>187</v>
      </c>
      <c r="B69" s="12" t="s">
        <v>124</v>
      </c>
      <c r="C69" s="9" t="s">
        <v>21</v>
      </c>
      <c r="D69" s="9">
        <v>20</v>
      </c>
      <c r="E69" s="9">
        <v>95.24</v>
      </c>
      <c r="F69" s="39">
        <v>21</v>
      </c>
      <c r="G69" s="37">
        <f>F69/D69*100</f>
        <v>105</v>
      </c>
      <c r="H69" s="39">
        <v>19</v>
      </c>
      <c r="I69" s="37">
        <f>H69/F69*100</f>
        <v>90.476190476190482</v>
      </c>
    </row>
    <row r="70" spans="1:9" ht="23.25" customHeight="1" x14ac:dyDescent="0.2">
      <c r="A70" s="29" t="s">
        <v>188</v>
      </c>
      <c r="B70" s="12" t="s">
        <v>125</v>
      </c>
      <c r="C70" s="9" t="s">
        <v>21</v>
      </c>
      <c r="D70" s="9">
        <v>26</v>
      </c>
      <c r="E70" s="9">
        <v>96.3</v>
      </c>
      <c r="F70" s="39">
        <v>27</v>
      </c>
      <c r="G70" s="37">
        <f>F70/D70*100</f>
        <v>103.84615384615385</v>
      </c>
      <c r="H70" s="39">
        <v>24</v>
      </c>
      <c r="I70" s="37">
        <f>H70/F70*100</f>
        <v>88.888888888888886</v>
      </c>
    </row>
    <row r="71" spans="1:9" ht="23.25" customHeight="1" x14ac:dyDescent="0.2">
      <c r="A71" s="29" t="s">
        <v>189</v>
      </c>
      <c r="B71" s="12" t="s">
        <v>124</v>
      </c>
      <c r="C71" s="9" t="s">
        <v>21</v>
      </c>
      <c r="D71" s="9">
        <v>23</v>
      </c>
      <c r="E71" s="9">
        <v>95.83</v>
      </c>
      <c r="F71" s="39">
        <v>24</v>
      </c>
      <c r="G71" s="37">
        <f>F71/D71*100</f>
        <v>104.34782608695652</v>
      </c>
      <c r="H71" s="39">
        <v>22</v>
      </c>
      <c r="I71" s="37">
        <f>H71/F71*100</f>
        <v>91.666666666666657</v>
      </c>
    </row>
    <row r="72" spans="1:9" ht="37.5" x14ac:dyDescent="0.2">
      <c r="A72" s="29" t="s">
        <v>99</v>
      </c>
      <c r="B72" s="13" t="s">
        <v>127</v>
      </c>
      <c r="C72" s="9" t="s">
        <v>128</v>
      </c>
      <c r="D72" s="54">
        <v>100</v>
      </c>
      <c r="E72" s="9" t="s">
        <v>51</v>
      </c>
      <c r="F72" s="37">
        <v>100</v>
      </c>
      <c r="G72" s="37" t="s">
        <v>51</v>
      </c>
      <c r="H72" s="37">
        <v>100</v>
      </c>
      <c r="I72" s="37" t="s">
        <v>51</v>
      </c>
    </row>
    <row r="73" spans="1:9" ht="23.25" customHeight="1" x14ac:dyDescent="0.2">
      <c r="A73" s="29" t="s">
        <v>102</v>
      </c>
      <c r="B73" s="13" t="s">
        <v>130</v>
      </c>
      <c r="C73" s="9" t="s">
        <v>28</v>
      </c>
      <c r="D73" s="36">
        <v>1043.43</v>
      </c>
      <c r="E73" s="9">
        <v>106.45</v>
      </c>
      <c r="F73" s="37">
        <v>1008.71</v>
      </c>
      <c r="G73" s="37">
        <f>F73/D73*100</f>
        <v>96.672512770382298</v>
      </c>
      <c r="H73" s="37">
        <v>924.77</v>
      </c>
      <c r="I73" s="37">
        <f>H73/F73*100</f>
        <v>91.678480435407593</v>
      </c>
    </row>
    <row r="74" spans="1:9" ht="37.5" x14ac:dyDescent="0.2">
      <c r="A74" s="29" t="s">
        <v>190</v>
      </c>
      <c r="B74" s="13" t="s">
        <v>132</v>
      </c>
      <c r="C74" s="9" t="s">
        <v>128</v>
      </c>
      <c r="D74" s="9">
        <v>88.71</v>
      </c>
      <c r="E74" s="9" t="s">
        <v>51</v>
      </c>
      <c r="F74" s="37">
        <v>89.37</v>
      </c>
      <c r="G74" s="37" t="s">
        <v>51</v>
      </c>
      <c r="H74" s="37">
        <v>90.08</v>
      </c>
      <c r="I74" s="37" t="s">
        <v>51</v>
      </c>
    </row>
    <row r="75" spans="1:9" ht="37.5" x14ac:dyDescent="0.2">
      <c r="A75" s="29" t="s">
        <v>191</v>
      </c>
      <c r="B75" s="12" t="s">
        <v>134</v>
      </c>
      <c r="C75" s="9" t="s">
        <v>28</v>
      </c>
      <c r="D75" s="9">
        <v>42.68</v>
      </c>
      <c r="E75" s="54">
        <v>94</v>
      </c>
      <c r="F75" s="37">
        <v>31.99</v>
      </c>
      <c r="G75" s="37">
        <f>F75/D75*100</f>
        <v>74.953139643861292</v>
      </c>
      <c r="H75" s="37">
        <v>27.81</v>
      </c>
      <c r="I75" s="37">
        <f>H75/F75*100</f>
        <v>86.933416692716463</v>
      </c>
    </row>
    <row r="76" spans="1:9" ht="56.25" x14ac:dyDescent="0.2">
      <c r="A76" s="29" t="s">
        <v>192</v>
      </c>
      <c r="B76" s="12" t="s">
        <v>135</v>
      </c>
      <c r="C76" s="9" t="s">
        <v>21</v>
      </c>
      <c r="D76" s="38">
        <v>1624</v>
      </c>
      <c r="E76" s="54">
        <v>120</v>
      </c>
      <c r="F76" s="39">
        <v>1337</v>
      </c>
      <c r="G76" s="37">
        <f>F76/D76*100</f>
        <v>82.327586206896555</v>
      </c>
      <c r="H76" s="39">
        <v>1093</v>
      </c>
      <c r="I76" s="37">
        <f>H76/F76*100</f>
        <v>81.750186985789071</v>
      </c>
    </row>
    <row r="77" spans="1:9" ht="56.25" x14ac:dyDescent="0.2">
      <c r="A77" s="29" t="s">
        <v>193</v>
      </c>
      <c r="B77" s="12" t="s">
        <v>136</v>
      </c>
      <c r="C77" s="9" t="s">
        <v>11</v>
      </c>
      <c r="D77" s="36">
        <v>3491</v>
      </c>
      <c r="E77" s="54">
        <v>144</v>
      </c>
      <c r="F77" s="39">
        <v>2915</v>
      </c>
      <c r="G77" s="37">
        <f>F77/D77*100</f>
        <v>83.500429676310517</v>
      </c>
      <c r="H77" s="39">
        <v>1465</v>
      </c>
      <c r="I77" s="37">
        <f>H77/F77*100</f>
        <v>50.257289879931392</v>
      </c>
    </row>
    <row r="78" spans="1:9" ht="18.75" x14ac:dyDescent="0.2">
      <c r="A78" s="30" t="s">
        <v>104</v>
      </c>
      <c r="B78" s="62" t="s">
        <v>137</v>
      </c>
      <c r="C78" s="63"/>
      <c r="D78" s="50"/>
      <c r="E78" s="50"/>
      <c r="F78" s="37"/>
      <c r="G78" s="37"/>
      <c r="H78" s="41"/>
      <c r="I78" s="37"/>
    </row>
    <row r="79" spans="1:9" ht="37.5" x14ac:dyDescent="0.2">
      <c r="A79" s="29" t="s">
        <v>105</v>
      </c>
      <c r="B79" s="13" t="s">
        <v>138</v>
      </c>
      <c r="C79" s="9" t="s">
        <v>139</v>
      </c>
      <c r="D79" s="36">
        <v>90470</v>
      </c>
      <c r="E79" s="9">
        <v>107.45</v>
      </c>
      <c r="F79" s="37">
        <v>101413.7</v>
      </c>
      <c r="G79" s="37">
        <f>F79/D79*100</f>
        <v>112.0964960760473</v>
      </c>
      <c r="H79" s="37">
        <v>115203.3</v>
      </c>
      <c r="I79" s="37">
        <f>H79/F79*100</f>
        <v>113.59737392482477</v>
      </c>
    </row>
    <row r="80" spans="1:9" ht="23.25" customHeight="1" x14ac:dyDescent="0.2">
      <c r="A80" s="29" t="s">
        <v>107</v>
      </c>
      <c r="B80" s="13" t="s">
        <v>140</v>
      </c>
      <c r="C80" s="9" t="s">
        <v>139</v>
      </c>
      <c r="D80" s="36">
        <v>46621.23</v>
      </c>
      <c r="E80" s="9">
        <v>101.91</v>
      </c>
      <c r="F80" s="37">
        <v>51899.68</v>
      </c>
      <c r="G80" s="37">
        <f>F80/D80*100</f>
        <v>111.32198785832119</v>
      </c>
      <c r="H80" s="37">
        <v>55885.55</v>
      </c>
      <c r="I80" s="37">
        <f>H80/F80*100</f>
        <v>107.67995101318544</v>
      </c>
    </row>
    <row r="81" spans="1:9" ht="23.25" customHeight="1" x14ac:dyDescent="0.2">
      <c r="A81" s="29" t="s">
        <v>110</v>
      </c>
      <c r="B81" s="13" t="s">
        <v>141</v>
      </c>
      <c r="C81" s="9" t="s">
        <v>139</v>
      </c>
      <c r="D81" s="37">
        <f>(D36+D39)/D9/12*1000</f>
        <v>24381.820069563415</v>
      </c>
      <c r="E81" s="37">
        <v>104.31</v>
      </c>
      <c r="F81" s="37">
        <f>(F36+F39)/F9/12*1000</f>
        <v>26257.434512167751</v>
      </c>
      <c r="G81" s="37">
        <f>F81/D81*100</f>
        <v>107.69267608920518</v>
      </c>
      <c r="H81" s="37">
        <f>(H36+H39)/H9/12*1000</f>
        <v>27270.07178427633</v>
      </c>
      <c r="I81" s="37">
        <f>H81/F81*100</f>
        <v>103.85657354163568</v>
      </c>
    </row>
    <row r="82" spans="1:9" ht="23.25" customHeight="1" x14ac:dyDescent="0.2">
      <c r="A82" s="29" t="s">
        <v>113</v>
      </c>
      <c r="B82" s="13" t="s">
        <v>142</v>
      </c>
      <c r="C82" s="9" t="s">
        <v>128</v>
      </c>
      <c r="D82" s="36">
        <v>101.1</v>
      </c>
      <c r="E82" s="9" t="s">
        <v>51</v>
      </c>
      <c r="F82" s="37">
        <f>F80/46621.24/1.138*100</f>
        <v>97.822463954627466</v>
      </c>
      <c r="G82" s="37" t="s">
        <v>51</v>
      </c>
      <c r="H82" s="37">
        <f>H80/F80/1.058*100</f>
        <v>101.77689131681042</v>
      </c>
      <c r="I82" s="37" t="s">
        <v>51</v>
      </c>
    </row>
    <row r="83" spans="1:9" ht="37.5" x14ac:dyDescent="0.2">
      <c r="A83" s="29" t="s">
        <v>116</v>
      </c>
      <c r="B83" s="13" t="s">
        <v>143</v>
      </c>
      <c r="C83" s="9" t="s">
        <v>139</v>
      </c>
      <c r="D83" s="36">
        <v>24803.3</v>
      </c>
      <c r="E83" s="54">
        <v>104</v>
      </c>
      <c r="F83" s="37">
        <v>28100.57</v>
      </c>
      <c r="G83" s="37">
        <f>F83/24803.3*100</f>
        <v>113.29367463200461</v>
      </c>
      <c r="H83" s="37">
        <v>30303</v>
      </c>
      <c r="I83" s="37">
        <f>H83/F83*100</f>
        <v>107.83767019672554</v>
      </c>
    </row>
    <row r="84" spans="1:9" ht="37.5" x14ac:dyDescent="0.2">
      <c r="A84" s="29" t="s">
        <v>194</v>
      </c>
      <c r="B84" s="13" t="s">
        <v>144</v>
      </c>
      <c r="C84" s="9" t="s">
        <v>128</v>
      </c>
      <c r="D84" s="9">
        <v>187.39</v>
      </c>
      <c r="E84" s="9" t="s">
        <v>51</v>
      </c>
      <c r="F84" s="37">
        <f>F83/16067*100</f>
        <v>174.89618472645796</v>
      </c>
      <c r="G84" s="37" t="s">
        <v>51</v>
      </c>
      <c r="H84" s="37">
        <f>H83/16951*100</f>
        <v>178.76821426464517</v>
      </c>
      <c r="I84" s="37" t="s">
        <v>51</v>
      </c>
    </row>
    <row r="85" spans="1:9" ht="27.75" customHeight="1" x14ac:dyDescent="0.2">
      <c r="A85" s="29" t="s">
        <v>195</v>
      </c>
      <c r="B85" s="13" t="s">
        <v>145</v>
      </c>
      <c r="C85" s="9" t="s">
        <v>146</v>
      </c>
      <c r="D85" s="36">
        <f>D36/D9/12</f>
        <v>18.526897419924207</v>
      </c>
      <c r="E85" s="36">
        <v>104.93</v>
      </c>
      <c r="F85" s="36">
        <f>F36/F9/12</f>
        <v>19.929215161328248</v>
      </c>
      <c r="G85" s="36">
        <f>F85/18.53*100</f>
        <v>107.55108020144763</v>
      </c>
      <c r="H85" s="36">
        <f>H36/H9/12</f>
        <v>20.745417461326554</v>
      </c>
      <c r="I85" s="36">
        <f>H85/F85*100</f>
        <v>104.09550648829418</v>
      </c>
    </row>
    <row r="86" spans="1:9" ht="35.25" customHeight="1" x14ac:dyDescent="0.2">
      <c r="A86" s="29" t="s">
        <v>196</v>
      </c>
      <c r="B86" s="13" t="s">
        <v>147</v>
      </c>
      <c r="C86" s="9" t="s">
        <v>146</v>
      </c>
      <c r="D86" s="37">
        <f>D39/D9/12</f>
        <v>5.8549226496392057</v>
      </c>
      <c r="E86" s="37">
        <v>102.43</v>
      </c>
      <c r="F86" s="37">
        <f>F39/F9/12</f>
        <v>6.3282193508395048</v>
      </c>
      <c r="G86" s="37">
        <f>F86/5.85*100</f>
        <v>108.17468975794027</v>
      </c>
      <c r="H86" s="37">
        <f>H39/H9/12</f>
        <v>6.524654322949778</v>
      </c>
      <c r="I86" s="37">
        <f>H86/F86*100</f>
        <v>103.10411130240315</v>
      </c>
    </row>
    <row r="87" spans="1:9" ht="23.25" customHeight="1" x14ac:dyDescent="0.2">
      <c r="A87" s="30" t="s">
        <v>119</v>
      </c>
      <c r="B87" s="62" t="s">
        <v>148</v>
      </c>
      <c r="C87" s="63"/>
      <c r="D87" s="50"/>
      <c r="E87" s="50"/>
      <c r="F87" s="37"/>
      <c r="G87" s="37"/>
      <c r="H87" s="37"/>
      <c r="I87" s="37"/>
    </row>
    <row r="88" spans="1:9" ht="56.25" x14ac:dyDescent="0.2">
      <c r="A88" s="29" t="s">
        <v>121</v>
      </c>
      <c r="B88" s="13" t="s">
        <v>149</v>
      </c>
      <c r="C88" s="9" t="s">
        <v>21</v>
      </c>
      <c r="D88" s="38">
        <v>1368</v>
      </c>
      <c r="E88" s="36">
        <v>72.099999999999994</v>
      </c>
      <c r="F88" s="39">
        <v>1318</v>
      </c>
      <c r="G88" s="37">
        <f>F88/D88*100</f>
        <v>96.345029239766077</v>
      </c>
      <c r="H88" s="39">
        <v>1283</v>
      </c>
      <c r="I88" s="37">
        <f>H88/F88*100</f>
        <v>97.344461305007584</v>
      </c>
    </row>
    <row r="89" spans="1:9" ht="35.25" customHeight="1" x14ac:dyDescent="0.2">
      <c r="A89" s="29" t="s">
        <v>197</v>
      </c>
      <c r="B89" s="13" t="s">
        <v>150</v>
      </c>
      <c r="C89" s="9" t="s">
        <v>11</v>
      </c>
      <c r="D89" s="38">
        <v>2878</v>
      </c>
      <c r="E89" s="36">
        <v>99.9</v>
      </c>
      <c r="F89" s="39">
        <v>2981</v>
      </c>
      <c r="G89" s="37">
        <f>F89/D89*100</f>
        <v>103.57887421820709</v>
      </c>
      <c r="H89" s="39">
        <v>3113</v>
      </c>
      <c r="I89" s="37">
        <f>H89/F89*100</f>
        <v>104.4280442804428</v>
      </c>
    </row>
    <row r="90" spans="1:9" ht="43.5" customHeight="1" x14ac:dyDescent="0.2">
      <c r="A90" s="29" t="s">
        <v>126</v>
      </c>
      <c r="B90" s="13" t="s">
        <v>151</v>
      </c>
      <c r="C90" s="9" t="s">
        <v>152</v>
      </c>
      <c r="D90" s="36">
        <v>16.02</v>
      </c>
      <c r="E90" s="36">
        <v>103.4</v>
      </c>
      <c r="F90" s="37">
        <v>16068</v>
      </c>
      <c r="G90" s="37">
        <f>F90/16020*100</f>
        <v>100.29962546816481</v>
      </c>
      <c r="H90" s="37">
        <v>16151</v>
      </c>
      <c r="I90" s="37">
        <f>H90/F90*100</f>
        <v>100.51655464276823</v>
      </c>
    </row>
    <row r="91" spans="1:9" ht="52.5" customHeight="1" x14ac:dyDescent="0.2">
      <c r="A91" s="29" t="s">
        <v>129</v>
      </c>
      <c r="B91" s="13" t="s">
        <v>153</v>
      </c>
      <c r="C91" s="9" t="s">
        <v>128</v>
      </c>
      <c r="D91" s="36">
        <v>31.5</v>
      </c>
      <c r="E91" s="36" t="s">
        <v>51</v>
      </c>
      <c r="F91" s="36">
        <f>F90/F13/10</f>
        <v>31.598820058997052</v>
      </c>
      <c r="G91" s="36" t="s">
        <v>51</v>
      </c>
      <c r="H91" s="36">
        <f>H90/H13/10</f>
        <v>31.722119652747768</v>
      </c>
      <c r="I91" s="36" t="s">
        <v>51</v>
      </c>
    </row>
    <row r="92" spans="1:9" ht="37.5" x14ac:dyDescent="0.2">
      <c r="A92" s="29" t="s">
        <v>131</v>
      </c>
      <c r="B92" s="13" t="s">
        <v>154</v>
      </c>
      <c r="C92" s="9" t="s">
        <v>155</v>
      </c>
      <c r="D92" s="36">
        <v>39.159999999999997</v>
      </c>
      <c r="E92" s="36">
        <v>93.2</v>
      </c>
      <c r="F92" s="37">
        <v>40.119999999999997</v>
      </c>
      <c r="G92" s="37">
        <f>F92/39.16*100</f>
        <v>102.45148110316651</v>
      </c>
      <c r="H92" s="37">
        <v>40.450000000000003</v>
      </c>
      <c r="I92" s="37">
        <f>H92/F92*100</f>
        <v>100.82253240279164</v>
      </c>
    </row>
    <row r="93" spans="1:9" ht="56.25" x14ac:dyDescent="0.2">
      <c r="A93" s="29" t="s">
        <v>133</v>
      </c>
      <c r="B93" s="13" t="s">
        <v>156</v>
      </c>
      <c r="C93" s="9" t="s">
        <v>152</v>
      </c>
      <c r="D93" s="38">
        <v>2358</v>
      </c>
      <c r="E93" s="36" t="s">
        <v>176</v>
      </c>
      <c r="F93" s="39">
        <v>3889</v>
      </c>
      <c r="G93" s="37">
        <f>F93/D93*100</f>
        <v>164.92790500424087</v>
      </c>
      <c r="H93" s="39">
        <v>5655</v>
      </c>
      <c r="I93" s="37">
        <f>H93/F93*100</f>
        <v>145.41013113911032</v>
      </c>
    </row>
    <row r="95" spans="1:9" ht="26.25" customHeight="1" x14ac:dyDescent="0.3">
      <c r="A95" s="69"/>
      <c r="B95" s="69"/>
    </row>
    <row r="96" spans="1:9" ht="26.25" customHeight="1" x14ac:dyDescent="0.2">
      <c r="A96" s="60"/>
      <c r="B96" s="60"/>
      <c r="C96" s="60"/>
      <c r="D96" s="60"/>
      <c r="E96" s="60"/>
      <c r="F96" s="60"/>
      <c r="G96" s="60"/>
      <c r="H96" s="61"/>
      <c r="I96" s="61"/>
    </row>
    <row r="97" spans="1:5" ht="26.25" customHeight="1" x14ac:dyDescent="0.3">
      <c r="A97" s="69"/>
      <c r="B97" s="69"/>
    </row>
    <row r="99" spans="1:5" ht="26.25" customHeight="1" x14ac:dyDescent="0.2">
      <c r="A99" s="60"/>
      <c r="B99" s="60"/>
    </row>
    <row r="100" spans="1:5" ht="35.25" customHeight="1" x14ac:dyDescent="0.2">
      <c r="A100" s="71"/>
      <c r="B100" s="71"/>
      <c r="C100" s="71"/>
      <c r="D100" s="52"/>
      <c r="E100" s="52"/>
    </row>
    <row r="101" spans="1:5" ht="26.25" customHeight="1" x14ac:dyDescent="0.2">
      <c r="A101" s="60"/>
      <c r="B101" s="60"/>
    </row>
  </sheetData>
  <mergeCells count="23">
    <mergeCell ref="A101:B101"/>
    <mergeCell ref="B2:C2"/>
    <mergeCell ref="A4:I4"/>
    <mergeCell ref="B8:C8"/>
    <mergeCell ref="B12:C12"/>
    <mergeCell ref="B18:C18"/>
    <mergeCell ref="A95:B95"/>
    <mergeCell ref="A97:B97"/>
    <mergeCell ref="B29:C29"/>
    <mergeCell ref="B32:C32"/>
    <mergeCell ref="B35:C35"/>
    <mergeCell ref="B60:C60"/>
    <mergeCell ref="B66:C66"/>
    <mergeCell ref="B78:C78"/>
    <mergeCell ref="B87:C87"/>
    <mergeCell ref="A100:C100"/>
    <mergeCell ref="A96:G96"/>
    <mergeCell ref="H96:I96"/>
    <mergeCell ref="A99:B99"/>
    <mergeCell ref="B38:C38"/>
    <mergeCell ref="B41:C41"/>
    <mergeCell ref="B50:C50"/>
    <mergeCell ref="B54:C54"/>
  </mergeCells>
  <pageMargins left="0.70866141732283472" right="0.51181102362204722" top="0.55118110236220474" bottom="0.15748031496062992" header="0.31496062992125984" footer="0.31496062992125984"/>
  <pageSetup paperSize="9" scale="55" fitToHeight="13" orientation="landscape" r:id="rId1"/>
  <headerFooter scaleWithDoc="0" alignWithMargins="0"/>
  <rowBreaks count="2" manualBreakCount="2">
    <brk id="71" max="8" man="1"/>
    <brk id="93" max="8" man="1"/>
  </rowBreaks>
  <ignoredErrors>
    <ignoredError sqref="A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Лист1!Print_Titles</vt:lpstr>
      <vt:lpstr>Лист1!Заголовки_для_печати</vt:lpstr>
      <vt:lpstr>Лист1!Область_печати</vt:lpstr>
    </vt:vector>
  </TitlesOfParts>
  <Company>AdmHmao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Kokorina</dc:creator>
  <cp:lastModifiedBy>Лали Зурабовна Буркова</cp:lastModifiedBy>
  <cp:revision>4</cp:revision>
  <cp:lastPrinted>2024-05-06T05:42:46Z</cp:lastPrinted>
  <dcterms:created xsi:type="dcterms:W3CDTF">2007-04-10T02:31:00Z</dcterms:created>
  <dcterms:modified xsi:type="dcterms:W3CDTF">2024-05-06T05:43:13Z</dcterms:modified>
  <cp:version>917504</cp:version>
</cp:coreProperties>
</file>