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мои документу\2024\внешняя 2023\Приложения 2023\"/>
    </mc:Choice>
  </mc:AlternateContent>
  <bookViews>
    <workbookView xWindow="480" yWindow="600" windowWidth="19320" windowHeight="12105"/>
  </bookViews>
  <sheets>
    <sheet name="Лист2" sheetId="2" r:id="rId1"/>
  </sheets>
  <definedNames>
    <definedName name="_xlnm._FilterDatabase" localSheetId="0" hidden="1">Лист2!$A$8:$N$83</definedName>
    <definedName name="_xlnm.Print_Area" localSheetId="0">Лист2!$A$1:$N$92</definedName>
  </definedNames>
  <calcPr calcId="152511"/>
</workbook>
</file>

<file path=xl/calcChain.xml><?xml version="1.0" encoding="utf-8"?>
<calcChain xmlns="http://schemas.openxmlformats.org/spreadsheetml/2006/main">
  <c r="N48" i="2" l="1"/>
  <c r="L48" i="2"/>
  <c r="J48" i="2"/>
  <c r="H48" i="2"/>
  <c r="C68" i="2"/>
  <c r="M67" i="2" l="1"/>
  <c r="M38" i="2"/>
  <c r="M41" i="2"/>
  <c r="M66" i="2"/>
  <c r="M62" i="2"/>
  <c r="M42" i="2"/>
  <c r="M15" i="2"/>
  <c r="M10" i="2"/>
  <c r="M11" i="2"/>
  <c r="M73" i="2" l="1"/>
  <c r="K33" i="2"/>
  <c r="I33" i="2"/>
  <c r="K66" i="2"/>
  <c r="G66" i="2"/>
  <c r="K41" i="2"/>
  <c r="G59" i="2"/>
  <c r="K59" i="2"/>
  <c r="G46" i="2"/>
  <c r="K62" i="2"/>
  <c r="G62" i="2"/>
  <c r="N40" i="2"/>
  <c r="L40" i="2"/>
  <c r="J40" i="2"/>
  <c r="H40" i="2"/>
  <c r="K67" i="2"/>
  <c r="G67" i="2"/>
  <c r="G39" i="2"/>
  <c r="K42" i="2" l="1"/>
  <c r="K38" i="2"/>
  <c r="G41" i="2"/>
  <c r="G55" i="2"/>
  <c r="G73" i="2"/>
  <c r="G74" i="2"/>
  <c r="G16" i="2"/>
  <c r="K15" i="2" l="1"/>
  <c r="I15" i="2"/>
  <c r="L34" i="2"/>
  <c r="N34" i="2"/>
  <c r="J34" i="2"/>
  <c r="H34" i="2"/>
  <c r="H36" i="2" l="1"/>
  <c r="J36" i="2"/>
  <c r="L36" i="2"/>
  <c r="N36" i="2"/>
  <c r="K11" i="2" l="1"/>
  <c r="N11" i="2" s="1"/>
  <c r="G11" i="2"/>
  <c r="K10" i="2"/>
  <c r="N10" i="2" s="1"/>
  <c r="G10" i="2"/>
  <c r="G31" i="2" s="1"/>
  <c r="M80" i="2" l="1"/>
  <c r="K80" i="2"/>
  <c r="I80" i="2"/>
  <c r="G80" i="2"/>
  <c r="F80" i="2"/>
  <c r="E80" i="2"/>
  <c r="D80" i="2"/>
  <c r="C80" i="2"/>
  <c r="B80" i="2"/>
  <c r="N79" i="2"/>
  <c r="L79" i="2"/>
  <c r="J79" i="2"/>
  <c r="H79" i="2"/>
  <c r="N78" i="2"/>
  <c r="L78" i="2"/>
  <c r="J78" i="2"/>
  <c r="H78" i="2"/>
  <c r="N77" i="2"/>
  <c r="L77" i="2"/>
  <c r="J77" i="2"/>
  <c r="H77" i="2"/>
  <c r="N76" i="2"/>
  <c r="L76" i="2"/>
  <c r="J76" i="2"/>
  <c r="H76" i="2"/>
  <c r="F74" i="2"/>
  <c r="E74" i="2"/>
  <c r="D74" i="2"/>
  <c r="C74" i="2"/>
  <c r="B74" i="2"/>
  <c r="M74" i="2"/>
  <c r="K74" i="2"/>
  <c r="I74" i="2"/>
  <c r="H73" i="2"/>
  <c r="N72" i="2"/>
  <c r="L72" i="2"/>
  <c r="J72" i="2"/>
  <c r="H72" i="2"/>
  <c r="N71" i="2"/>
  <c r="L71" i="2"/>
  <c r="J71" i="2"/>
  <c r="H71" i="2"/>
  <c r="N70" i="2"/>
  <c r="L70" i="2"/>
  <c r="F68" i="2"/>
  <c r="E68" i="2"/>
  <c r="D68" i="2"/>
  <c r="B68" i="2"/>
  <c r="N67" i="2"/>
  <c r="L67" i="2"/>
  <c r="H67" i="2"/>
  <c r="N66" i="2"/>
  <c r="J66" i="2"/>
  <c r="H66" i="2"/>
  <c r="N65" i="2"/>
  <c r="L65" i="2"/>
  <c r="J65" i="2"/>
  <c r="H65" i="2"/>
  <c r="N64" i="2"/>
  <c r="L64" i="2"/>
  <c r="J64" i="2"/>
  <c r="H64" i="2"/>
  <c r="N63" i="2"/>
  <c r="L63" i="2"/>
  <c r="J63" i="2"/>
  <c r="H63" i="2"/>
  <c r="H62" i="2"/>
  <c r="N61" i="2"/>
  <c r="L61" i="2"/>
  <c r="H61" i="2"/>
  <c r="N60" i="2"/>
  <c r="L60" i="2"/>
  <c r="J60" i="2"/>
  <c r="H60" i="2"/>
  <c r="M59" i="2"/>
  <c r="I59" i="2"/>
  <c r="H59" i="2"/>
  <c r="N58" i="2"/>
  <c r="L58" i="2"/>
  <c r="G58" i="2"/>
  <c r="N57" i="2"/>
  <c r="L57" i="2"/>
  <c r="J57" i="2"/>
  <c r="H57" i="2"/>
  <c r="N56" i="2"/>
  <c r="L56" i="2"/>
  <c r="J56" i="2"/>
  <c r="H56" i="2"/>
  <c r="J55" i="2"/>
  <c r="H55" i="2"/>
  <c r="N54" i="2"/>
  <c r="L54" i="2"/>
  <c r="J54" i="2"/>
  <c r="H54" i="2"/>
  <c r="N53" i="2"/>
  <c r="L53" i="2"/>
  <c r="J53" i="2"/>
  <c r="H53" i="2"/>
  <c r="N52" i="2"/>
  <c r="L52" i="2"/>
  <c r="J52" i="2"/>
  <c r="H52" i="2"/>
  <c r="M51" i="2"/>
  <c r="K51" i="2"/>
  <c r="I51" i="2"/>
  <c r="J51" i="2" s="1"/>
  <c r="H51" i="2"/>
  <c r="N50" i="2"/>
  <c r="L50" i="2"/>
  <c r="J50" i="2"/>
  <c r="H50" i="2"/>
  <c r="N47" i="2"/>
  <c r="L47" i="2"/>
  <c r="J47" i="2"/>
  <c r="H47" i="2"/>
  <c r="M46" i="2"/>
  <c r="K46" i="2"/>
  <c r="I46" i="2"/>
  <c r="H46" i="2"/>
  <c r="N45" i="2"/>
  <c r="L45" i="2"/>
  <c r="J45" i="2"/>
  <c r="H45" i="2"/>
  <c r="N44" i="2"/>
  <c r="L44" i="2"/>
  <c r="J44" i="2"/>
  <c r="H44" i="2"/>
  <c r="N43" i="2"/>
  <c r="L43" i="2"/>
  <c r="J43" i="2"/>
  <c r="H43" i="2"/>
  <c r="L42" i="2"/>
  <c r="I42" i="2"/>
  <c r="J42" i="2" s="1"/>
  <c r="H42" i="2"/>
  <c r="J41" i="2"/>
  <c r="H41" i="2"/>
  <c r="N39" i="2"/>
  <c r="L39" i="2"/>
  <c r="J39" i="2"/>
  <c r="I38" i="2"/>
  <c r="J38" i="2" s="1"/>
  <c r="H38" i="2"/>
  <c r="N37" i="2"/>
  <c r="L37" i="2"/>
  <c r="J37" i="2"/>
  <c r="H37" i="2"/>
  <c r="J33" i="2"/>
  <c r="H33" i="2"/>
  <c r="F31" i="2"/>
  <c r="E31" i="2"/>
  <c r="C31" i="2"/>
  <c r="B31" i="2"/>
  <c r="N30" i="2"/>
  <c r="L30" i="2"/>
  <c r="J30" i="2"/>
  <c r="H30" i="2"/>
  <c r="N29" i="2"/>
  <c r="L29" i="2"/>
  <c r="J29" i="2"/>
  <c r="H29" i="2"/>
  <c r="N28" i="2"/>
  <c r="L28" i="2"/>
  <c r="J28" i="2"/>
  <c r="H28" i="2"/>
  <c r="N27" i="2"/>
  <c r="L27" i="2"/>
  <c r="J27" i="2"/>
  <c r="N26" i="2"/>
  <c r="L26" i="2"/>
  <c r="J26" i="2"/>
  <c r="H26" i="2"/>
  <c r="N25" i="2"/>
  <c r="L25" i="2"/>
  <c r="J25" i="2"/>
  <c r="H25" i="2"/>
  <c r="N24" i="2"/>
  <c r="L24" i="2"/>
  <c r="J24" i="2"/>
  <c r="H24" i="2"/>
  <c r="N23" i="2"/>
  <c r="L23" i="2"/>
  <c r="J23" i="2"/>
  <c r="H23" i="2"/>
  <c r="N22" i="2"/>
  <c r="L22" i="2"/>
  <c r="J22" i="2"/>
  <c r="N21" i="2"/>
  <c r="L21" i="2"/>
  <c r="J21" i="2"/>
  <c r="H21" i="2"/>
  <c r="N20" i="2"/>
  <c r="L20" i="2"/>
  <c r="H20" i="2"/>
  <c r="N19" i="2"/>
  <c r="L19" i="2"/>
  <c r="J19" i="2"/>
  <c r="H19" i="2"/>
  <c r="N18" i="2"/>
  <c r="L18" i="2"/>
  <c r="J18" i="2"/>
  <c r="H18" i="2"/>
  <c r="L17" i="2"/>
  <c r="J17" i="2"/>
  <c r="H17" i="2"/>
  <c r="D17" i="2"/>
  <c r="D31" i="2" s="1"/>
  <c r="N16" i="2"/>
  <c r="L16" i="2"/>
  <c r="J16" i="2"/>
  <c r="M31" i="2"/>
  <c r="I31" i="2"/>
  <c r="H15" i="2"/>
  <c r="N14" i="2"/>
  <c r="L14" i="2"/>
  <c r="J14" i="2"/>
  <c r="H14" i="2"/>
  <c r="N13" i="2"/>
  <c r="L13" i="2"/>
  <c r="J13" i="2"/>
  <c r="H13" i="2"/>
  <c r="N12" i="2"/>
  <c r="L12" i="2"/>
  <c r="J12" i="2"/>
  <c r="H12" i="2"/>
  <c r="L11" i="2"/>
  <c r="J11" i="2"/>
  <c r="L10" i="2"/>
  <c r="J10" i="2"/>
  <c r="H10" i="2"/>
  <c r="J58" i="2" l="1"/>
  <c r="G68" i="2"/>
  <c r="J59" i="2"/>
  <c r="N51" i="2"/>
  <c r="L33" i="2"/>
  <c r="L80" i="2"/>
  <c r="H27" i="2"/>
  <c r="N59" i="2"/>
  <c r="H80" i="2"/>
  <c r="J61" i="2"/>
  <c r="E81" i="2"/>
  <c r="N46" i="2"/>
  <c r="L51" i="2"/>
  <c r="N62" i="2"/>
  <c r="L66" i="2"/>
  <c r="C81" i="2"/>
  <c r="J74" i="2"/>
  <c r="N73" i="2"/>
  <c r="B81" i="2"/>
  <c r="F81" i="2"/>
  <c r="J20" i="2"/>
  <c r="H22" i="2"/>
  <c r="M68" i="2"/>
  <c r="M81" i="2" s="1"/>
  <c r="J67" i="2"/>
  <c r="J73" i="2"/>
  <c r="N74" i="2"/>
  <c r="N15" i="2"/>
  <c r="H16" i="2"/>
  <c r="L15" i="2"/>
  <c r="I68" i="2"/>
  <c r="N33" i="2"/>
  <c r="N38" i="2"/>
  <c r="N41" i="2"/>
  <c r="N42" i="2"/>
  <c r="L46" i="2"/>
  <c r="N55" i="2"/>
  <c r="L59" i="2"/>
  <c r="L62" i="2"/>
  <c r="D81" i="2"/>
  <c r="L74" i="2"/>
  <c r="H31" i="2"/>
  <c r="K31" i="2"/>
  <c r="L38" i="2"/>
  <c r="H39" i="2"/>
  <c r="L41" i="2"/>
  <c r="J46" i="2"/>
  <c r="L55" i="2"/>
  <c r="H58" i="2"/>
  <c r="J62" i="2"/>
  <c r="H70" i="2"/>
  <c r="N17" i="2"/>
  <c r="H11" i="2"/>
  <c r="J15" i="2"/>
  <c r="J70" i="2"/>
  <c r="L73" i="2"/>
  <c r="J80" i="2"/>
  <c r="N80" i="2"/>
  <c r="K68" i="2"/>
  <c r="L31" i="2" l="1"/>
  <c r="H68" i="2"/>
  <c r="I81" i="2"/>
  <c r="I83" i="2" s="1"/>
  <c r="L68" i="2"/>
  <c r="G81" i="2"/>
  <c r="H74" i="2"/>
  <c r="J68" i="2"/>
  <c r="J31" i="2"/>
  <c r="K81" i="2"/>
  <c r="N68" i="2"/>
  <c r="N31" i="2"/>
  <c r="K83" i="2" l="1"/>
  <c r="H81" i="2"/>
  <c r="G83" i="2"/>
  <c r="J81" i="2"/>
  <c r="L81" i="2"/>
  <c r="N81" i="2"/>
</calcChain>
</file>

<file path=xl/sharedStrings.xml><?xml version="1.0" encoding="utf-8"?>
<sst xmlns="http://schemas.openxmlformats.org/spreadsheetml/2006/main" count="90" uniqueCount="90">
  <si>
    <t>Наименование</t>
  </si>
  <si>
    <t>Субвенции</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</si>
  <si>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</si>
  <si>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Дотации</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</si>
  <si>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</si>
  <si>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Субвенции на осуществление отдельных государственных полномочий в сфере трудовых отношений и государственного управления охраной труда</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</si>
  <si>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</si>
  <si>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Субвенции на организацию и обеспечение отдыха и оздоровления детей, в том числе в этнической среде</t>
  </si>
  <si>
    <t>Субвенции на организацию осуществления мероприятий по проведению дезинсекции и дератизации в Ханты-Мансийском автономном округе – Югре</t>
  </si>
  <si>
    <t>Субвенции на осуществление отдельных полномочий Ханты-Мансийского автономного округа – Югры по организации деятельности по обращению с твердыми коммунальными отходами</t>
  </si>
  <si>
    <t>Субвенции на осуществление полномочий по составлению (изменению) списков кандидатов в присяжные заседатели федеральных судов общей юрисдикции РФ</t>
  </si>
  <si>
    <t xml:space="preserve">Итого субвенций </t>
  </si>
  <si>
    <t>Субсидии 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</si>
  <si>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Субсидии на создание условий для деятельности народных дружин</t>
  </si>
  <si>
    <t>Субсидии на реализацию полномочий в сфере жилищно-коммунального комплекса</t>
  </si>
  <si>
    <t xml:space="preserve">Субсидии </t>
  </si>
  <si>
    <t>Итого субсидии</t>
  </si>
  <si>
    <t xml:space="preserve">Иные межбюджетные трансферты
</t>
  </si>
  <si>
    <t>Итого иные межбюджетные трансферты</t>
  </si>
  <si>
    <t xml:space="preserve">Итого дотации </t>
  </si>
  <si>
    <t xml:space="preserve">Всего </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</si>
  <si>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</si>
  <si>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</si>
  <si>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Субсидии на реализацию программ формирования современной городской среды</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</si>
  <si>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</si>
  <si>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</si>
  <si>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</si>
  <si>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</si>
  <si>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(рубли)</t>
  </si>
  <si>
    <t>Изменение плановых назначений               (гр.7-гр.6)</t>
  </si>
  <si>
    <t>Фактически поступило в бюджет</t>
  </si>
  <si>
    <t>Израсходовано</t>
  </si>
  <si>
    <t xml:space="preserve">Первоначальный план </t>
  </si>
  <si>
    <t>к заключению Счётной палаты</t>
  </si>
  <si>
    <t>Субвенции  на осуществление переданных полномочий Российской Федерации на государственную регистрацию актов гражданского состояния</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</si>
  <si>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</si>
  <si>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Субвенции на организацию мероприятий при осуществлении деятельности по обращению с животными без владельцев</t>
  </si>
  <si>
    <t>Субсидии на развитие сферы культуры в муниципальных образованиях Ханты-Мансийского автономного округа-Югры</t>
  </si>
  <si>
    <t>Субсидии на развитие материально-технической базы муниципальных учреждений спорта</t>
  </si>
  <si>
    <t>Субсидии на реализацию мероприятий по обеспечению жильем молодых семей</t>
  </si>
  <si>
    <t>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t>
  </si>
  <si>
    <t>Субвенций на поддержку и развитие растениеводства</t>
  </si>
  <si>
    <t>Субвенции на поддержку и развитие животноводства</t>
  </si>
  <si>
    <t>Субвенции на поддержку и развитие малых форм хозяйствования</t>
  </si>
  <si>
    <t>Субсидии на государственную поддержку отрасли культуры</t>
  </si>
  <si>
    <t>Субсидий на софинансирование расходов муниципальных образований по развитию сети спортивных объектов шаговой доступности</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</si>
  <si>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</si>
  <si>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</si>
  <si>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</si>
  <si>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Субсидии на реализацию инициативных проектов, отобранных по результатам конкурса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</si>
  <si>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</si>
  <si>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на создание образовательных организаций, организаций для отдыха и оздоровления детей</t>
  </si>
  <si>
    <t>Субсидии на строительство и реконструкцию (модернизацию) объектов питьевого водоснабжения</t>
  </si>
  <si>
    <t>Субсидии на реализацию мероприятий по строительству и реконструкции (модернизации) объектов питьевого водоснабжения</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</si>
  <si>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</si>
  <si>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на финансовую поддержку субъектов малого и среднего предпринимательства</t>
  </si>
  <si>
    <t>Субсидии 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</si>
  <si>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t>
  </si>
  <si>
    <t>Приложение № 3</t>
  </si>
  <si>
    <t xml:space="preserve">  Информация об использовании дотаций, субвенций, субсидий и межбюджетных трансфертов за 2023 год</t>
  </si>
  <si>
    <t xml:space="preserve">Остаток на 01.01.2023 г. </t>
  </si>
  <si>
    <t>Сумма восста-новленного неиспользо-ванного оста-тка прошлых лет</t>
  </si>
  <si>
    <t xml:space="preserve">Возвращено неиспользован-ных остатков прошлых лет в бюджеты других уровней </t>
  </si>
  <si>
    <t xml:space="preserve">Возвращено в местный бюд-жет в объеме потребности в расходовании </t>
  </si>
  <si>
    <t>Уточнённый    план по решению о бюджете</t>
  </si>
  <si>
    <t>Фактический план на конец отчётного периода</t>
  </si>
  <si>
    <t>Отклонение между фактическим планом и решением о бюджете                          (гр.9-гр.7)</t>
  </si>
  <si>
    <t>Не поступило      (гр.11-гр.9)</t>
  </si>
  <si>
    <t>Субвенция на осуществление деятельности по опеке и попечительству</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</si>
  <si>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</si>
  <si>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Субсидии на обеспечение устойчивого сокращения непригодного для проживания жилищного фонда</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</si>
  <si>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</si>
  <si>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на финансовую поддержку
субъектов малого и среднего предпринимательства, впервые зарегистрированных и действующих менее одного года, на развитие социального предпринимательства</t>
  </si>
  <si>
    <t>Субсидии на поддержку малого и среднего предпринимательства</t>
  </si>
  <si>
    <t>Субсидии на государственную поддержку организаций, входящих в систему спортивной подготовки</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</si>
  <si>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</si>
  <si>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Субсидии на строительство (реконструкцию), капитальный ремонт и ремонт автомобильных дорог общего пользования местного значения</t>
  </si>
  <si>
    <t>Субсидии для реализации полномочий в области строительства и жилищных отношений</t>
  </si>
  <si>
    <t>Субсидии для реализации полномочий в области градостроительной деятельности</t>
  </si>
  <si>
    <t>Обеспечение мероприятий по модернизации систем коммунальной инфраструктуры</t>
  </si>
  <si>
    <t xml:space="preserve">Иные межбюджетные трансферты на реализацию мероприятий содействие трудоустройству граждан </t>
  </si>
  <si>
    <t>Иные межбюджетные трансферты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</si>
  <si>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Иные межбюджетные трансферты на реализацию наказов избирателей депутатам Думы Ханты -Мансийского автономного округа - Югры</t>
  </si>
  <si>
    <t>Дотация для финансового обеспечения расходных обязательств муниципальных образований Ханты-Мансийского автономного округа – Югры по решению вопросов местного значения</t>
  </si>
  <si>
    <t>Дотация в целях стимулирования роста налогового потенциала и качества планирования доходов в городских округах и муниципальных районах</t>
  </si>
  <si>
    <t>Дотация на поощрение достижения высоких показателей качества организации и осуществления бюджетного процесса в городских округах и муниципальных районах</t>
  </si>
  <si>
    <t>Остаток на 01.01.2024 г.  (гр.2+гр.3-гр.4+гр.5+гр.11-гр.13)</t>
  </si>
  <si>
    <t>Субсидии на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 за счет бюджета автономного округа  -  на возмещение за изымаемые земельные участки физическим лицам</t>
  </si>
  <si>
    <t>Субсидии на проектирование, строительство, реконструкцию (модернизацию), капитальный ремонт объектов коммунальной инфраструктуры (в сферах теплоснабжения, водоснабжения и водоотведения), источником финансового обеспечения которых является специальный казначейский кредит</t>
  </si>
  <si>
    <t>Субсидии на финансовую поддержку
субъектов малого и среднего предпринимательства, впервые зарегистрированных и действующих менее одного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</si>
</sst>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8" x14ac:knownFonts="1">
    <font>
      <sz val="11"/>
      <color theme="1"/>
      <name val="Calibri"/>
      <family val="2"/>
      <charset val="204"/>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b/>
      <sz val="11"/>
      <name val="Calibri"/>
      <family val="2"/>
      <charset val="204"/>
      <scheme val="minor"/>
    </font>
    <font>
      <sz val="11"/>
      <color theme="1"/>
      <name val="Calibri"/>
      <family val="2"/>
      <charset val="204"/>
      <scheme val="minor"/>
    </font>
    <font>
      <b/>
      <sz val="12"/>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2D050"/>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5">
    <xf numFmtId="0" fontId="0"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3" borderId="0" applyNumberFormat="0" applyBorder="0" applyAlignment="0" applyProtection="0"/>
    <xf numFmtId="0" fontId="15" fillId="0" borderId="0" applyNumberFormat="0" applyFill="0" applyBorder="0" applyAlignment="0" applyProtection="0"/>
    <xf numFmtId="0" fontId="1" fillId="23"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xf numFmtId="43" fontId="25" fillId="0" borderId="0" applyFont="0" applyFill="0" applyBorder="0" applyAlignment="0" applyProtection="0"/>
  </cellStyleXfs>
  <cellXfs count="55">
    <xf numFmtId="0" fontId="0" fillId="0" borderId="0" xfId="0"/>
    <xf numFmtId="0" fontId="19" fillId="0" borderId="0" xfId="0" applyFont="1" applyFill="1" applyBorder="1"/>
    <xf numFmtId="4" fontId="19" fillId="0" borderId="0" xfId="0" applyNumberFormat="1" applyFont="1" applyFill="1" applyBorder="1" applyAlignment="1">
      <alignment horizontal="center" vertical="center"/>
    </xf>
    <xf numFmtId="0" fontId="20" fillId="0" borderId="0" xfId="0" applyFont="1" applyFill="1" applyBorder="1"/>
    <xf numFmtId="2" fontId="19" fillId="0" borderId="0" xfId="0" applyNumberFormat="1" applyFont="1" applyFill="1" applyBorder="1" applyAlignment="1">
      <alignment horizontal="left" vertical="distributed" wrapText="1"/>
    </xf>
    <xf numFmtId="4" fontId="21" fillId="0" borderId="0" xfId="0" applyNumberFormat="1" applyFont="1" applyFill="1" applyAlignment="1">
      <alignment horizontal="center" vertical="center"/>
    </xf>
    <xf numFmtId="0" fontId="23" fillId="0" borderId="0" xfId="0" applyFont="1" applyFill="1"/>
    <xf numFmtId="4" fontId="23" fillId="0" borderId="0" xfId="0" applyNumberFormat="1" applyFont="1" applyFill="1" applyAlignment="1">
      <alignment horizontal="center" vertical="center"/>
    </xf>
    <xf numFmtId="3" fontId="19" fillId="0" borderId="0" xfId="0" applyNumberFormat="1" applyFont="1" applyFill="1" applyBorder="1" applyAlignment="1">
      <alignment horizontal="center" vertical="center"/>
    </xf>
    <xf numFmtId="0" fontId="19" fillId="0" borderId="0" xfId="0" applyFont="1" applyFill="1" applyBorder="1" applyAlignment="1">
      <alignment vertical="center"/>
    </xf>
    <xf numFmtId="0" fontId="20" fillId="0" borderId="0" xfId="0" applyFont="1" applyFill="1" applyBorder="1" applyAlignment="1">
      <alignment vertical="center"/>
    </xf>
    <xf numFmtId="0" fontId="20" fillId="0" borderId="0" xfId="0" applyFont="1" applyFill="1" applyBorder="1" applyAlignment="1">
      <alignment horizontal="left"/>
    </xf>
    <xf numFmtId="2" fontId="19" fillId="0" borderId="0" xfId="37" applyNumberFormat="1" applyFont="1" applyFill="1" applyBorder="1" applyAlignment="1">
      <alignment horizontal="left" vertical="distributed" wrapText="1"/>
    </xf>
    <xf numFmtId="4" fontId="19" fillId="0" borderId="0" xfId="37" applyNumberFormat="1" applyFont="1" applyFill="1" applyBorder="1" applyAlignment="1">
      <alignment horizontal="center" vertical="center" wrapText="1"/>
    </xf>
    <xf numFmtId="0" fontId="19" fillId="24" borderId="0" xfId="0" applyFont="1" applyFill="1" applyBorder="1" applyAlignment="1">
      <alignment vertical="center"/>
    </xf>
    <xf numFmtId="4" fontId="19" fillId="0" borderId="10" xfId="0" applyNumberFormat="1" applyFont="1" applyFill="1" applyBorder="1" applyAlignment="1">
      <alignment horizontal="center" vertical="center"/>
    </xf>
    <xf numFmtId="4" fontId="19" fillId="0" borderId="10" xfId="0" applyNumberFormat="1" applyFont="1" applyFill="1" applyBorder="1" applyAlignment="1">
      <alignment horizontal="center" vertical="center" wrapText="1"/>
    </xf>
    <xf numFmtId="4" fontId="20" fillId="0" borderId="10" xfId="0" applyNumberFormat="1" applyFont="1" applyFill="1" applyBorder="1" applyAlignment="1">
      <alignment horizontal="center" vertical="center" wrapText="1"/>
    </xf>
    <xf numFmtId="4" fontId="20" fillId="0" borderId="10" xfId="37" applyNumberFormat="1" applyFont="1" applyFill="1" applyBorder="1" applyAlignment="1">
      <alignment horizontal="center" vertical="center" wrapText="1"/>
    </xf>
    <xf numFmtId="3" fontId="19" fillId="0" borderId="10" xfId="0" applyNumberFormat="1" applyFont="1" applyFill="1" applyBorder="1" applyAlignment="1">
      <alignment horizontal="center" vertical="center"/>
    </xf>
    <xf numFmtId="4" fontId="19" fillId="0" borderId="10" xfId="37" applyNumberFormat="1" applyFont="1" applyFill="1" applyBorder="1" applyAlignment="1">
      <alignment horizontal="center" vertical="center" wrapText="1"/>
    </xf>
    <xf numFmtId="4" fontId="26" fillId="0" borderId="10" xfId="37" applyNumberFormat="1" applyFont="1" applyFill="1" applyBorder="1" applyAlignment="1">
      <alignment horizontal="center" vertical="center" wrapText="1"/>
    </xf>
    <xf numFmtId="0" fontId="21" fillId="0" borderId="0" xfId="0" applyFont="1" applyFill="1"/>
    <xf numFmtId="4" fontId="20" fillId="0" borderId="0" xfId="37" applyNumberFormat="1" applyFont="1" applyFill="1" applyBorder="1" applyAlignment="1">
      <alignment horizontal="center" vertical="center" wrapText="1"/>
    </xf>
    <xf numFmtId="4" fontId="20" fillId="0" borderId="0" xfId="0" applyNumberFormat="1" applyFont="1" applyFill="1" applyBorder="1" applyAlignment="1">
      <alignment horizontal="center" vertical="center" wrapText="1"/>
    </xf>
    <xf numFmtId="43" fontId="19" fillId="0" borderId="10" xfId="44" applyFont="1" applyFill="1" applyBorder="1" applyAlignment="1">
      <alignment vertical="center"/>
    </xf>
    <xf numFmtId="4" fontId="20" fillId="0" borderId="10" xfId="37" applyNumberFormat="1" applyFont="1" applyFill="1" applyBorder="1" applyAlignment="1">
      <alignment horizontal="center" vertical="distributed" wrapText="1"/>
    </xf>
    <xf numFmtId="3" fontId="19" fillId="0" borderId="10" xfId="37" applyNumberFormat="1" applyFont="1" applyFill="1" applyBorder="1" applyAlignment="1">
      <alignment horizontal="center" vertical="distributed" wrapText="1"/>
    </xf>
    <xf numFmtId="3" fontId="19" fillId="0" borderId="10" xfId="37" applyNumberFormat="1" applyFont="1" applyFill="1" applyBorder="1" applyAlignment="1">
      <alignment horizontal="center" vertical="center" wrapText="1"/>
    </xf>
    <xf numFmtId="3" fontId="19" fillId="0" borderId="10" xfId="37" applyNumberFormat="1" applyFont="1" applyFill="1" applyBorder="1" applyAlignment="1">
      <alignment horizontal="center" vertical="center"/>
    </xf>
    <xf numFmtId="4" fontId="19" fillId="0" borderId="10" xfId="0" applyNumberFormat="1" applyFont="1" applyFill="1" applyBorder="1" applyAlignment="1">
      <alignment horizontal="left" vertical="center" wrapText="1"/>
    </xf>
    <xf numFmtId="0" fontId="19" fillId="0" borderId="10" xfId="0" applyFont="1" applyFill="1" applyBorder="1" applyAlignment="1">
      <alignment vertical="top" wrapText="1"/>
    </xf>
    <xf numFmtId="0" fontId="19" fillId="0" borderId="10" xfId="0" applyFont="1" applyFill="1" applyBorder="1" applyAlignment="1">
      <alignment wrapText="1"/>
    </xf>
    <xf numFmtId="4" fontId="20" fillId="0" borderId="10" xfId="37" applyNumberFormat="1" applyFont="1" applyFill="1" applyBorder="1" applyAlignment="1">
      <alignment horizontal="left" vertical="center" wrapText="1"/>
    </xf>
    <xf numFmtId="4" fontId="19" fillId="0" borderId="10" xfId="37" applyNumberFormat="1" applyFont="1" applyFill="1" applyBorder="1" applyAlignment="1">
      <alignment horizontal="left" vertical="center" wrapText="1"/>
    </xf>
    <xf numFmtId="4" fontId="20" fillId="0" borderId="10" xfId="0" applyNumberFormat="1" applyFont="1" applyFill="1" applyBorder="1" applyAlignment="1">
      <alignment horizontal="left" vertical="center" wrapText="1"/>
    </xf>
    <xf numFmtId="4" fontId="20" fillId="0" borderId="0" xfId="37" applyNumberFormat="1" applyFont="1" applyFill="1" applyBorder="1" applyAlignment="1">
      <alignment horizontal="left" vertical="center" wrapText="1"/>
    </xf>
    <xf numFmtId="3" fontId="27" fillId="0" borderId="10" xfId="0" applyNumberFormat="1" applyFont="1" applyFill="1" applyBorder="1" applyAlignment="1">
      <alignment horizontal="center" vertical="center"/>
    </xf>
    <xf numFmtId="4" fontId="27" fillId="0" borderId="10" xfId="37" applyNumberFormat="1" applyFont="1" applyFill="1" applyBorder="1" applyAlignment="1">
      <alignment horizontal="center" vertical="center" wrapText="1"/>
    </xf>
    <xf numFmtId="4" fontId="26" fillId="0" borderId="0" xfId="37" applyNumberFormat="1" applyFont="1" applyFill="1" applyBorder="1" applyAlignment="1">
      <alignment horizontal="center" vertical="center" wrapText="1"/>
    </xf>
    <xf numFmtId="3" fontId="26" fillId="0" borderId="10" xfId="37" applyNumberFormat="1" applyFont="1" applyFill="1" applyBorder="1" applyAlignment="1">
      <alignment horizontal="center" vertical="center" wrapText="1"/>
    </xf>
    <xf numFmtId="4" fontId="26" fillId="0" borderId="10" xfId="37" applyNumberFormat="1" applyFont="1" applyFill="1" applyBorder="1" applyAlignment="1">
      <alignment horizontal="center" vertical="center" wrapText="1"/>
    </xf>
    <xf numFmtId="4" fontId="21" fillId="0" borderId="0" xfId="0" applyNumberFormat="1" applyFont="1" applyFill="1" applyAlignment="1">
      <alignment horizontal="right" vertical="center"/>
    </xf>
    <xf numFmtId="4" fontId="0" fillId="0" borderId="0" xfId="0" applyNumberFormat="1" applyFill="1" applyAlignment="1">
      <alignment horizontal="right" vertical="center"/>
    </xf>
    <xf numFmtId="0" fontId="0" fillId="0" borderId="0" xfId="0" applyFill="1" applyAlignment="1">
      <alignment horizontal="right" vertical="center"/>
    </xf>
    <xf numFmtId="3" fontId="22" fillId="0" borderId="0" xfId="0" applyNumberFormat="1" applyFont="1" applyFill="1" applyAlignment="1">
      <alignment horizontal="center" vertical="top" wrapText="1"/>
    </xf>
    <xf numFmtId="0" fontId="24" fillId="0" borderId="0" xfId="0" applyFont="1" applyFill="1" applyAlignment="1">
      <alignment horizontal="center"/>
    </xf>
    <xf numFmtId="4" fontId="19" fillId="0" borderId="11" xfId="0" applyNumberFormat="1" applyFont="1" applyFill="1" applyBorder="1" applyAlignment="1">
      <alignment horizontal="center" vertical="center" wrapText="1"/>
    </xf>
    <xf numFmtId="4" fontId="19" fillId="0" borderId="12" xfId="0" applyNumberFormat="1" applyFont="1" applyFill="1" applyBorder="1" applyAlignment="1">
      <alignment horizontal="center" vertical="center" wrapText="1"/>
    </xf>
    <xf numFmtId="4" fontId="19" fillId="0" borderId="11" xfId="0" applyNumberFormat="1" applyFont="1" applyFill="1" applyBorder="1" applyAlignment="1">
      <alignment horizontal="left" vertical="center" wrapText="1"/>
    </xf>
    <xf numFmtId="4" fontId="19" fillId="0" borderId="12" xfId="0" applyNumberFormat="1" applyFont="1" applyFill="1" applyBorder="1" applyAlignment="1">
      <alignment horizontal="left" vertical="center" wrapText="1"/>
    </xf>
    <xf numFmtId="4" fontId="19" fillId="0" borderId="11" xfId="37" applyNumberFormat="1" applyFont="1" applyFill="1" applyBorder="1" applyAlignment="1">
      <alignment horizontal="center" vertical="center" wrapText="1"/>
    </xf>
    <xf numFmtId="4" fontId="19" fillId="0" borderId="12" xfId="37" applyNumberFormat="1" applyFont="1" applyFill="1" applyBorder="1" applyAlignment="1">
      <alignment horizontal="center" vertical="center" wrapText="1"/>
    </xf>
    <xf numFmtId="4" fontId="27" fillId="0" borderId="11" xfId="37" applyNumberFormat="1" applyFont="1" applyFill="1" applyBorder="1" applyAlignment="1">
      <alignment horizontal="center" vertical="center" wrapText="1"/>
    </xf>
    <xf numFmtId="4" fontId="27" fillId="0" borderId="12" xfId="37" applyNumberFormat="1" applyFont="1" applyFill="1" applyBorder="1" applyAlignment="1">
      <alignment horizontal="center" vertical="center" wrapText="1"/>
    </xf>
  </cellXfs>
  <cellStyles count="45">
    <cellStyle name="20% - Акцент1 2" xfId="2"/>
    <cellStyle name="20% - Акцент2 2" xfId="3"/>
    <cellStyle name="20% - Акцент3 2" xfId="4"/>
    <cellStyle name="20% - Акцент4 2" xfId="5"/>
    <cellStyle name="20% - Акцент5 2" xfId="6"/>
    <cellStyle name="20% - Акцент6 2" xfId="7"/>
    <cellStyle name="40% - Акцент1 2" xfId="8"/>
    <cellStyle name="40% - Акцент2 2" xfId="9"/>
    <cellStyle name="40% - Акцент3 2" xfId="10"/>
    <cellStyle name="40% - Акцент4 2" xfId="11"/>
    <cellStyle name="40% - Акцент5 2" xfId="12"/>
    <cellStyle name="40% - Акцент6 2" xfId="13"/>
    <cellStyle name="60% - Акцент1 2" xfId="14"/>
    <cellStyle name="60% - Акцент2 2" xfId="15"/>
    <cellStyle name="60% - Акцент3 2" xfId="16"/>
    <cellStyle name="60% - Акцент4 2" xfId="17"/>
    <cellStyle name="60% - Акцент5 2" xfId="18"/>
    <cellStyle name="60% - Акцент6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2" xfId="1"/>
    <cellStyle name="Обычный_окружные" xfId="37"/>
    <cellStyle name="Плохой 2" xfId="38"/>
    <cellStyle name="Пояснение 2" xfId="39"/>
    <cellStyle name="Примечание 2" xfId="40"/>
    <cellStyle name="Связанная ячейка 2" xfId="41"/>
    <cellStyle name="Текст предупреждения 2" xfId="42"/>
    <cellStyle name="Финансовый" xfId="44" builtinId="3"/>
    <cellStyle name="Хороший 2" xfId="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tabSelected="1" view="pageBreakPreview" topLeftCell="B1" zoomScaleNormal="91" zoomScaleSheetLayoutView="100" workbookViewId="0">
      <pane ySplit="8" topLeftCell="A45" activePane="bottomLeft" state="frozen"/>
      <selection pane="bottomLeft" activeCell="N48" sqref="N48"/>
    </sheetView>
  </sheetViews>
  <sheetFormatPr defaultRowHeight="15.75" x14ac:dyDescent="0.25"/>
  <cols>
    <col min="1" max="1" width="52.42578125" style="4" customWidth="1"/>
    <col min="2" max="2" width="15" style="5" customWidth="1"/>
    <col min="3" max="3" width="14.85546875" style="5" customWidth="1"/>
    <col min="4" max="4" width="16.140625" style="5" customWidth="1"/>
    <col min="5" max="5" width="16.28515625" style="5" customWidth="1"/>
    <col min="6" max="6" width="18.85546875" style="2" customWidth="1"/>
    <col min="7" max="7" width="18.7109375" style="5" customWidth="1"/>
    <col min="8" max="8" width="19" style="5" customWidth="1"/>
    <col min="9" max="9" width="19.28515625" style="5" customWidth="1"/>
    <col min="10" max="10" width="17.28515625" style="5" customWidth="1"/>
    <col min="11" max="11" width="19.42578125" style="5" customWidth="1"/>
    <col min="12" max="12" width="16.85546875" style="5" customWidth="1"/>
    <col min="13" max="13" width="18.42578125" style="5" customWidth="1"/>
    <col min="14" max="14" width="14" style="1" customWidth="1"/>
    <col min="15" max="16384" width="9.140625" style="1"/>
  </cols>
  <sheetData>
    <row r="1" spans="1:14" s="6" customFormat="1" ht="15" x14ac:dyDescent="0.25">
      <c r="A1" s="22"/>
      <c r="B1" s="7"/>
      <c r="C1" s="7"/>
      <c r="D1" s="7"/>
      <c r="E1" s="7"/>
      <c r="F1" s="7"/>
      <c r="G1" s="7"/>
      <c r="H1" s="7"/>
      <c r="I1" s="7"/>
      <c r="J1" s="7"/>
      <c r="K1" s="5"/>
      <c r="L1" s="42" t="s">
        <v>58</v>
      </c>
      <c r="M1" s="43"/>
    </row>
    <row r="2" spans="1:14" s="6" customFormat="1" ht="15" x14ac:dyDescent="0.25">
      <c r="A2" s="22"/>
      <c r="B2" s="7"/>
      <c r="C2" s="7"/>
      <c r="D2" s="7"/>
      <c r="E2" s="7"/>
      <c r="F2" s="7"/>
      <c r="G2" s="7"/>
      <c r="H2" s="7"/>
      <c r="I2" s="7"/>
      <c r="J2" s="7"/>
      <c r="K2" s="5"/>
      <c r="L2" s="42" t="s">
        <v>33</v>
      </c>
      <c r="M2" s="44"/>
    </row>
    <row r="3" spans="1:14" s="6" customFormat="1" ht="15" x14ac:dyDescent="0.25">
      <c r="A3" s="22"/>
      <c r="B3" s="7"/>
      <c r="C3" s="7"/>
      <c r="D3" s="7"/>
      <c r="E3" s="7"/>
      <c r="F3" s="7"/>
      <c r="G3" s="7"/>
      <c r="H3" s="7"/>
      <c r="I3" s="7"/>
      <c r="J3" s="7"/>
      <c r="K3" s="5"/>
      <c r="L3" s="5"/>
      <c r="M3" s="5"/>
    </row>
    <row r="4" spans="1:14" s="6" customFormat="1" ht="15" x14ac:dyDescent="0.25">
      <c r="A4" s="22"/>
      <c r="B4" s="7"/>
      <c r="C4" s="7"/>
      <c r="D4" s="7"/>
      <c r="E4" s="7"/>
      <c r="F4" s="7"/>
      <c r="G4" s="7"/>
      <c r="H4" s="7"/>
      <c r="I4" s="7"/>
      <c r="J4" s="7"/>
      <c r="K4" s="7"/>
      <c r="L4" s="7"/>
      <c r="M4" s="7"/>
    </row>
    <row r="5" spans="1:14" s="6" customFormat="1" ht="15" customHeight="1" x14ac:dyDescent="0.25">
      <c r="A5" s="45" t="s">
        <v>59</v>
      </c>
      <c r="B5" s="46"/>
      <c r="C5" s="46"/>
      <c r="D5" s="46"/>
      <c r="E5" s="46"/>
      <c r="F5" s="46"/>
      <c r="G5" s="46"/>
      <c r="H5" s="46"/>
      <c r="I5" s="46"/>
      <c r="J5" s="46"/>
      <c r="K5" s="46"/>
      <c r="L5" s="46"/>
      <c r="M5" s="46"/>
    </row>
    <row r="6" spans="1:14" x14ac:dyDescent="0.25">
      <c r="A6" s="12"/>
      <c r="F6" s="13"/>
      <c r="M6" s="5" t="s">
        <v>28</v>
      </c>
    </row>
    <row r="7" spans="1:14" s="8" customFormat="1" ht="124.5" customHeight="1" x14ac:dyDescent="0.25">
      <c r="A7" s="26" t="s">
        <v>0</v>
      </c>
      <c r="B7" s="18" t="s">
        <v>60</v>
      </c>
      <c r="C7" s="18" t="s">
        <v>61</v>
      </c>
      <c r="D7" s="18" t="s">
        <v>62</v>
      </c>
      <c r="E7" s="18" t="s">
        <v>63</v>
      </c>
      <c r="F7" s="17" t="s">
        <v>32</v>
      </c>
      <c r="G7" s="18" t="s">
        <v>64</v>
      </c>
      <c r="H7" s="18" t="s">
        <v>29</v>
      </c>
      <c r="I7" s="18" t="s">
        <v>65</v>
      </c>
      <c r="J7" s="18" t="s">
        <v>66</v>
      </c>
      <c r="K7" s="18" t="s">
        <v>30</v>
      </c>
      <c r="L7" s="18" t="s">
        <v>67</v>
      </c>
      <c r="M7" s="18" t="s">
        <v>31</v>
      </c>
      <c r="N7" s="21" t="s">
        <v>86</v>
      </c>
    </row>
    <row r="8" spans="1:14" ht="12" customHeight="1" x14ac:dyDescent="0.25">
      <c r="A8" s="27">
        <v>1</v>
      </c>
      <c r="B8" s="28">
        <v>2</v>
      </c>
      <c r="C8" s="28">
        <v>3</v>
      </c>
      <c r="D8" s="28">
        <v>4</v>
      </c>
      <c r="E8" s="28">
        <v>5</v>
      </c>
      <c r="F8" s="29">
        <v>6</v>
      </c>
      <c r="G8" s="19">
        <v>7</v>
      </c>
      <c r="H8" s="19">
        <v>8</v>
      </c>
      <c r="I8" s="19">
        <v>9</v>
      </c>
      <c r="J8" s="19">
        <v>10</v>
      </c>
      <c r="K8" s="19">
        <v>11</v>
      </c>
      <c r="L8" s="19">
        <v>12</v>
      </c>
      <c r="M8" s="19">
        <v>13</v>
      </c>
      <c r="N8" s="37">
        <v>14</v>
      </c>
    </row>
    <row r="9" spans="1:14" x14ac:dyDescent="0.25">
      <c r="A9" s="41" t="s">
        <v>1</v>
      </c>
      <c r="B9" s="41"/>
      <c r="C9" s="41"/>
      <c r="D9" s="41"/>
      <c r="E9" s="41"/>
      <c r="F9" s="41"/>
      <c r="G9" s="41"/>
      <c r="H9" s="41"/>
      <c r="I9" s="41"/>
      <c r="J9" s="41"/>
      <c r="K9" s="41"/>
      <c r="L9" s="41"/>
      <c r="M9" s="41"/>
      <c r="N9" s="41"/>
    </row>
    <row r="10" spans="1:14" ht="110.25" x14ac:dyDescent="0.25">
      <c r="A10" s="30" t="s">
        <v>2</v>
      </c>
      <c r="B10" s="16">
        <v>11014569</v>
      </c>
      <c r="C10" s="16">
        <v>0</v>
      </c>
      <c r="D10" s="16">
        <v>11014569</v>
      </c>
      <c r="E10" s="16">
        <v>0</v>
      </c>
      <c r="F10" s="15">
        <v>210916800</v>
      </c>
      <c r="G10" s="15">
        <f>215460500+5176300</f>
        <v>220636800</v>
      </c>
      <c r="H10" s="16">
        <f>G10-F10</f>
        <v>9720000</v>
      </c>
      <c r="I10" s="16">
        <v>220636800</v>
      </c>
      <c r="J10" s="16">
        <f>I10-G10</f>
        <v>0</v>
      </c>
      <c r="K10" s="16">
        <f>206687996.81+4894468</f>
        <v>211582464.81</v>
      </c>
      <c r="L10" s="16">
        <f>K10-I10</f>
        <v>-9054335.1899999976</v>
      </c>
      <c r="M10" s="16">
        <f>4894468+206687996.81</f>
        <v>211582464.81</v>
      </c>
      <c r="N10" s="38">
        <f>B10+C10-D10+E10+K10-M10</f>
        <v>0</v>
      </c>
    </row>
    <row r="11" spans="1:14" ht="110.25" x14ac:dyDescent="0.25">
      <c r="A11" s="30" t="s">
        <v>40</v>
      </c>
      <c r="B11" s="16">
        <v>7273340.9900000002</v>
      </c>
      <c r="C11" s="16">
        <v>0</v>
      </c>
      <c r="D11" s="16">
        <v>7273340.9900000002</v>
      </c>
      <c r="E11" s="16">
        <v>0</v>
      </c>
      <c r="F11" s="15">
        <v>3660045700</v>
      </c>
      <c r="G11" s="15">
        <f>3446777100+266443400</f>
        <v>3713220500</v>
      </c>
      <c r="H11" s="16">
        <f t="shared" ref="H11:H81" si="0">G11-F11</f>
        <v>53174800</v>
      </c>
      <c r="I11" s="16">
        <v>3713220500</v>
      </c>
      <c r="J11" s="16">
        <f t="shared" ref="J11:J31" si="1">I11-G11</f>
        <v>0</v>
      </c>
      <c r="K11" s="16">
        <f>3428450459.62+263225808.55</f>
        <v>3691676268.1700001</v>
      </c>
      <c r="L11" s="16">
        <f t="shared" ref="L11:L31" si="2">K11-I11</f>
        <v>-21544231.829999924</v>
      </c>
      <c r="M11" s="16">
        <f>3428450459.62+263225808.55</f>
        <v>3691676268.1700001</v>
      </c>
      <c r="N11" s="38">
        <f>B11+C11-D11+E11+K11-M11</f>
        <v>0</v>
      </c>
    </row>
    <row r="12" spans="1:14" ht="78.75" x14ac:dyDescent="0.25">
      <c r="A12" s="30" t="s">
        <v>27</v>
      </c>
      <c r="B12" s="16">
        <v>1287117.8</v>
      </c>
      <c r="C12" s="16">
        <v>0</v>
      </c>
      <c r="D12" s="16">
        <v>1287117.8</v>
      </c>
      <c r="E12" s="16">
        <v>0</v>
      </c>
      <c r="F12" s="15">
        <v>15823300</v>
      </c>
      <c r="G12" s="15">
        <v>16588900</v>
      </c>
      <c r="H12" s="16">
        <f t="shared" si="0"/>
        <v>765600</v>
      </c>
      <c r="I12" s="16">
        <v>16588900</v>
      </c>
      <c r="J12" s="16">
        <f t="shared" si="1"/>
        <v>0</v>
      </c>
      <c r="K12" s="16">
        <v>14566468.93</v>
      </c>
      <c r="L12" s="16">
        <f t="shared" si="2"/>
        <v>-2022431.0700000003</v>
      </c>
      <c r="M12" s="16">
        <v>14566468.93</v>
      </c>
      <c r="N12" s="38">
        <f t="shared" ref="N12:N68" si="3">B12+C12-D12+E12+K12-M12</f>
        <v>0</v>
      </c>
    </row>
    <row r="13" spans="1:14" ht="94.5" x14ac:dyDescent="0.25">
      <c r="A13" s="31" t="s">
        <v>6</v>
      </c>
      <c r="B13" s="16">
        <v>25240.58</v>
      </c>
      <c r="C13" s="16">
        <v>0</v>
      </c>
      <c r="D13" s="16">
        <v>25240.58</v>
      </c>
      <c r="E13" s="16">
        <v>0</v>
      </c>
      <c r="F13" s="15">
        <v>0</v>
      </c>
      <c r="G13" s="15">
        <v>0</v>
      </c>
      <c r="H13" s="16">
        <f t="shared" si="0"/>
        <v>0</v>
      </c>
      <c r="I13" s="16">
        <v>0</v>
      </c>
      <c r="J13" s="16">
        <f t="shared" si="1"/>
        <v>0</v>
      </c>
      <c r="K13" s="16">
        <v>0</v>
      </c>
      <c r="L13" s="16">
        <f t="shared" si="2"/>
        <v>0</v>
      </c>
      <c r="M13" s="16">
        <v>0</v>
      </c>
      <c r="N13" s="38">
        <f t="shared" si="3"/>
        <v>0</v>
      </c>
    </row>
    <row r="14" spans="1:14" ht="31.5" x14ac:dyDescent="0.25">
      <c r="A14" s="32" t="s">
        <v>68</v>
      </c>
      <c r="B14" s="16">
        <v>791520.35</v>
      </c>
      <c r="C14" s="16">
        <v>0</v>
      </c>
      <c r="D14" s="16">
        <v>791520.35</v>
      </c>
      <c r="E14" s="16">
        <v>0</v>
      </c>
      <c r="F14" s="15">
        <v>0</v>
      </c>
      <c r="G14" s="15">
        <v>0</v>
      </c>
      <c r="H14" s="16">
        <f t="shared" si="0"/>
        <v>0</v>
      </c>
      <c r="I14" s="16">
        <v>0</v>
      </c>
      <c r="J14" s="16">
        <f t="shared" si="1"/>
        <v>0</v>
      </c>
      <c r="K14" s="16">
        <v>0</v>
      </c>
      <c r="L14" s="16">
        <f t="shared" si="2"/>
        <v>0</v>
      </c>
      <c r="M14" s="16">
        <v>0</v>
      </c>
      <c r="N14" s="38">
        <f t="shared" si="3"/>
        <v>0</v>
      </c>
    </row>
    <row r="15" spans="1:14" ht="63" x14ac:dyDescent="0.25">
      <c r="A15" s="30" t="s">
        <v>34</v>
      </c>
      <c r="B15" s="16">
        <v>79800.98</v>
      </c>
      <c r="C15" s="16">
        <v>0</v>
      </c>
      <c r="D15" s="16">
        <v>79800.98</v>
      </c>
      <c r="E15" s="16">
        <v>0</v>
      </c>
      <c r="F15" s="15">
        <v>11010600</v>
      </c>
      <c r="G15" s="15">
        <v>12595000</v>
      </c>
      <c r="H15" s="16">
        <f>G15-F15</f>
        <v>1584400</v>
      </c>
      <c r="I15" s="16">
        <f>8578600+4016400</f>
        <v>12595000</v>
      </c>
      <c r="J15" s="16">
        <f t="shared" si="1"/>
        <v>0</v>
      </c>
      <c r="K15" s="16">
        <f>8578599.43+3832352.41</f>
        <v>12410951.84</v>
      </c>
      <c r="L15" s="16">
        <f t="shared" si="2"/>
        <v>-184048.16000000015</v>
      </c>
      <c r="M15" s="16">
        <f>8578599.43+3832352.41</f>
        <v>12410951.84</v>
      </c>
      <c r="N15" s="38">
        <f t="shared" si="3"/>
        <v>0</v>
      </c>
    </row>
    <row r="16" spans="1:14" ht="158.25" customHeight="1" x14ac:dyDescent="0.25">
      <c r="A16" s="30" t="s">
        <v>35</v>
      </c>
      <c r="B16" s="16">
        <v>23992.45</v>
      </c>
      <c r="C16" s="16">
        <v>0</v>
      </c>
      <c r="D16" s="16">
        <v>23992.45</v>
      </c>
      <c r="E16" s="16">
        <v>0</v>
      </c>
      <c r="F16" s="15">
        <v>5201200</v>
      </c>
      <c r="G16" s="15">
        <f>5873800</f>
        <v>5873800</v>
      </c>
      <c r="H16" s="16">
        <f t="shared" si="0"/>
        <v>672600</v>
      </c>
      <c r="I16" s="16">
        <v>5873800</v>
      </c>
      <c r="J16" s="16">
        <f t="shared" si="1"/>
        <v>0</v>
      </c>
      <c r="K16" s="16">
        <v>5862573.6699999999</v>
      </c>
      <c r="L16" s="16">
        <f t="shared" si="2"/>
        <v>-11226.330000000075</v>
      </c>
      <c r="M16" s="16">
        <v>5862573.6699999999</v>
      </c>
      <c r="N16" s="38">
        <f t="shared" si="3"/>
        <v>0</v>
      </c>
    </row>
    <row r="17" spans="1:14" ht="78.75" x14ac:dyDescent="0.25">
      <c r="A17" s="30" t="s">
        <v>4</v>
      </c>
      <c r="B17" s="16">
        <v>98452.63</v>
      </c>
      <c r="C17" s="16">
        <v>65</v>
      </c>
      <c r="D17" s="16">
        <f>B17+C17</f>
        <v>98517.63</v>
      </c>
      <c r="E17" s="16">
        <v>0</v>
      </c>
      <c r="F17" s="15">
        <v>85343000</v>
      </c>
      <c r="G17" s="15">
        <v>68343000</v>
      </c>
      <c r="H17" s="16">
        <f t="shared" si="0"/>
        <v>-17000000</v>
      </c>
      <c r="I17" s="16">
        <v>68343000</v>
      </c>
      <c r="J17" s="16">
        <f t="shared" si="1"/>
        <v>0</v>
      </c>
      <c r="K17" s="16">
        <v>68331777.799999997</v>
      </c>
      <c r="L17" s="16">
        <f t="shared" si="2"/>
        <v>-11222.20000000298</v>
      </c>
      <c r="M17" s="16">
        <v>68331777.799999997</v>
      </c>
      <c r="N17" s="38">
        <f t="shared" si="3"/>
        <v>0</v>
      </c>
    </row>
    <row r="18" spans="1:14" ht="78.75" x14ac:dyDescent="0.25">
      <c r="A18" s="30" t="s">
        <v>24</v>
      </c>
      <c r="B18" s="16">
        <v>299.82</v>
      </c>
      <c r="C18" s="16">
        <v>0</v>
      </c>
      <c r="D18" s="16">
        <v>299.82</v>
      </c>
      <c r="E18" s="16">
        <v>0</v>
      </c>
      <c r="F18" s="15">
        <v>795800</v>
      </c>
      <c r="G18" s="15">
        <v>795800</v>
      </c>
      <c r="H18" s="16">
        <f t="shared" si="0"/>
        <v>0</v>
      </c>
      <c r="I18" s="16">
        <v>795800</v>
      </c>
      <c r="J18" s="16">
        <f t="shared" si="1"/>
        <v>0</v>
      </c>
      <c r="K18" s="16">
        <v>795800</v>
      </c>
      <c r="L18" s="16">
        <f t="shared" si="2"/>
        <v>0</v>
      </c>
      <c r="M18" s="16">
        <v>795800</v>
      </c>
      <c r="N18" s="38">
        <f t="shared" si="3"/>
        <v>0</v>
      </c>
    </row>
    <row r="19" spans="1:14" ht="38.25" customHeight="1" x14ac:dyDescent="0.25">
      <c r="A19" s="30" t="s">
        <v>7</v>
      </c>
      <c r="B19" s="16">
        <v>0</v>
      </c>
      <c r="C19" s="16">
        <v>0</v>
      </c>
      <c r="D19" s="16">
        <v>0</v>
      </c>
      <c r="E19" s="16">
        <v>0</v>
      </c>
      <c r="F19" s="15">
        <v>28355400</v>
      </c>
      <c r="G19" s="15">
        <v>24328200</v>
      </c>
      <c r="H19" s="16">
        <f t="shared" si="0"/>
        <v>-4027200</v>
      </c>
      <c r="I19" s="16">
        <v>24328200</v>
      </c>
      <c r="J19" s="16">
        <f t="shared" si="1"/>
        <v>0</v>
      </c>
      <c r="K19" s="16">
        <v>24309577.23</v>
      </c>
      <c r="L19" s="16">
        <f t="shared" si="2"/>
        <v>-18622.769999999553</v>
      </c>
      <c r="M19" s="16">
        <v>24309577.23</v>
      </c>
      <c r="N19" s="38">
        <f t="shared" si="3"/>
        <v>0</v>
      </c>
    </row>
    <row r="20" spans="1:14" ht="63" x14ac:dyDescent="0.25">
      <c r="A20" s="30" t="s">
        <v>5</v>
      </c>
      <c r="B20" s="16">
        <v>61002.48</v>
      </c>
      <c r="C20" s="16">
        <v>0</v>
      </c>
      <c r="D20" s="16">
        <v>61002.48</v>
      </c>
      <c r="E20" s="16">
        <v>0</v>
      </c>
      <c r="F20" s="15">
        <v>3868700</v>
      </c>
      <c r="G20" s="15">
        <v>4421300</v>
      </c>
      <c r="H20" s="16">
        <f t="shared" si="0"/>
        <v>552600</v>
      </c>
      <c r="I20" s="16">
        <v>4421300</v>
      </c>
      <c r="J20" s="16">
        <f t="shared" si="1"/>
        <v>0</v>
      </c>
      <c r="K20" s="16">
        <v>3934332.5</v>
      </c>
      <c r="L20" s="16">
        <f t="shared" si="2"/>
        <v>-486967.5</v>
      </c>
      <c r="M20" s="16">
        <v>3934332.5</v>
      </c>
      <c r="N20" s="38">
        <f t="shared" si="3"/>
        <v>0</v>
      </c>
    </row>
    <row r="21" spans="1:14" ht="31.5" x14ac:dyDescent="0.25">
      <c r="A21" s="30" t="s">
        <v>41</v>
      </c>
      <c r="B21" s="16">
        <v>1025</v>
      </c>
      <c r="C21" s="16">
        <v>0</v>
      </c>
      <c r="D21" s="16">
        <v>1025</v>
      </c>
      <c r="E21" s="16">
        <v>0</v>
      </c>
      <c r="F21" s="15">
        <v>56000</v>
      </c>
      <c r="G21" s="15">
        <v>69200</v>
      </c>
      <c r="H21" s="16">
        <f t="shared" si="0"/>
        <v>13200</v>
      </c>
      <c r="I21" s="16">
        <v>69200</v>
      </c>
      <c r="J21" s="16">
        <f t="shared" si="1"/>
        <v>0</v>
      </c>
      <c r="K21" s="16">
        <v>32500</v>
      </c>
      <c r="L21" s="16">
        <f t="shared" si="2"/>
        <v>-36700</v>
      </c>
      <c r="M21" s="16">
        <v>32500</v>
      </c>
      <c r="N21" s="38">
        <f t="shared" si="3"/>
        <v>0</v>
      </c>
    </row>
    <row r="22" spans="1:14" ht="31.5" x14ac:dyDescent="0.25">
      <c r="A22" s="30" t="s">
        <v>42</v>
      </c>
      <c r="B22" s="16">
        <v>0</v>
      </c>
      <c r="C22" s="16">
        <v>6412.16</v>
      </c>
      <c r="D22" s="16">
        <v>6412.16</v>
      </c>
      <c r="E22" s="16">
        <v>0</v>
      </c>
      <c r="F22" s="15">
        <v>36317300</v>
      </c>
      <c r="G22" s="15">
        <v>20536500</v>
      </c>
      <c r="H22" s="16">
        <f t="shared" si="0"/>
        <v>-15780800</v>
      </c>
      <c r="I22" s="16">
        <v>20536500</v>
      </c>
      <c r="J22" s="16">
        <f t="shared" si="1"/>
        <v>0</v>
      </c>
      <c r="K22" s="16">
        <v>17238180.239999998</v>
      </c>
      <c r="L22" s="16">
        <f t="shared" si="2"/>
        <v>-3298319.7600000016</v>
      </c>
      <c r="M22" s="16">
        <v>17238180.239999998</v>
      </c>
      <c r="N22" s="38">
        <f t="shared" si="3"/>
        <v>0</v>
      </c>
    </row>
    <row r="23" spans="1:14" ht="31.5" x14ac:dyDescent="0.25">
      <c r="A23" s="30" t="s">
        <v>43</v>
      </c>
      <c r="B23" s="16">
        <v>0</v>
      </c>
      <c r="C23" s="16">
        <v>0</v>
      </c>
      <c r="D23" s="16">
        <v>0</v>
      </c>
      <c r="E23" s="16">
        <v>0</v>
      </c>
      <c r="F23" s="15">
        <v>2706700</v>
      </c>
      <c r="G23" s="15">
        <v>11199400</v>
      </c>
      <c r="H23" s="16">
        <f t="shared" si="0"/>
        <v>8492700</v>
      </c>
      <c r="I23" s="16">
        <v>11199400</v>
      </c>
      <c r="J23" s="16">
        <f t="shared" si="1"/>
        <v>0</v>
      </c>
      <c r="K23" s="16">
        <v>7773235.9299999997</v>
      </c>
      <c r="L23" s="16">
        <f t="shared" si="2"/>
        <v>-3426164.0700000003</v>
      </c>
      <c r="M23" s="16">
        <v>7773235.9299999997</v>
      </c>
      <c r="N23" s="38">
        <f t="shared" si="3"/>
        <v>0</v>
      </c>
    </row>
    <row r="24" spans="1:14" ht="157.5" x14ac:dyDescent="0.25">
      <c r="A24" s="30" t="s">
        <v>69</v>
      </c>
      <c r="B24" s="16">
        <v>17100</v>
      </c>
      <c r="C24" s="16">
        <v>0</v>
      </c>
      <c r="D24" s="16">
        <v>17100</v>
      </c>
      <c r="E24" s="16">
        <v>0</v>
      </c>
      <c r="F24" s="15">
        <v>4500</v>
      </c>
      <c r="G24" s="15">
        <v>4500</v>
      </c>
      <c r="H24" s="16">
        <f t="shared" si="0"/>
        <v>0</v>
      </c>
      <c r="I24" s="16">
        <v>4500</v>
      </c>
      <c r="J24" s="16">
        <f t="shared" si="1"/>
        <v>0</v>
      </c>
      <c r="K24" s="16">
        <v>4410</v>
      </c>
      <c r="L24" s="16">
        <f t="shared" si="2"/>
        <v>-90</v>
      </c>
      <c r="M24" s="16">
        <v>4410</v>
      </c>
      <c r="N24" s="38">
        <f t="shared" si="3"/>
        <v>0</v>
      </c>
    </row>
    <row r="25" spans="1:14" ht="63" x14ac:dyDescent="0.25">
      <c r="A25" s="30" t="s">
        <v>8</v>
      </c>
      <c r="B25" s="16">
        <v>0</v>
      </c>
      <c r="C25" s="16">
        <v>0</v>
      </c>
      <c r="D25" s="16">
        <v>0</v>
      </c>
      <c r="E25" s="16">
        <v>0</v>
      </c>
      <c r="F25" s="15">
        <v>7566800</v>
      </c>
      <c r="G25" s="15">
        <v>810900</v>
      </c>
      <c r="H25" s="16">
        <f t="shared" si="0"/>
        <v>-6755900</v>
      </c>
      <c r="I25" s="16">
        <v>810900</v>
      </c>
      <c r="J25" s="16">
        <f t="shared" si="1"/>
        <v>0</v>
      </c>
      <c r="K25" s="16">
        <v>810830.5</v>
      </c>
      <c r="L25" s="16">
        <f t="shared" si="2"/>
        <v>-69.5</v>
      </c>
      <c r="M25" s="16">
        <v>810830.5</v>
      </c>
      <c r="N25" s="38">
        <f t="shared" si="3"/>
        <v>0</v>
      </c>
    </row>
    <row r="26" spans="1:14" ht="47.25" x14ac:dyDescent="0.25">
      <c r="A26" s="30" t="s">
        <v>36</v>
      </c>
      <c r="B26" s="16">
        <v>0</v>
      </c>
      <c r="C26" s="16">
        <v>0</v>
      </c>
      <c r="D26" s="16">
        <v>0</v>
      </c>
      <c r="E26" s="16">
        <v>0</v>
      </c>
      <c r="F26" s="15">
        <v>1654500</v>
      </c>
      <c r="G26" s="15">
        <v>1663300</v>
      </c>
      <c r="H26" s="16">
        <f t="shared" si="0"/>
        <v>8800</v>
      </c>
      <c r="I26" s="16">
        <v>1663300</v>
      </c>
      <c r="J26" s="16">
        <f t="shared" si="1"/>
        <v>0</v>
      </c>
      <c r="K26" s="16">
        <v>1663300</v>
      </c>
      <c r="L26" s="16">
        <f t="shared" si="2"/>
        <v>0</v>
      </c>
      <c r="M26" s="16">
        <v>1663300</v>
      </c>
      <c r="N26" s="38">
        <f t="shared" si="3"/>
        <v>0</v>
      </c>
    </row>
    <row r="27" spans="1:14" ht="63" x14ac:dyDescent="0.25">
      <c r="A27" s="30" t="s">
        <v>9</v>
      </c>
      <c r="B27" s="16">
        <v>0</v>
      </c>
      <c r="C27" s="16">
        <v>0</v>
      </c>
      <c r="D27" s="16">
        <v>0</v>
      </c>
      <c r="E27" s="16">
        <v>0</v>
      </c>
      <c r="F27" s="15">
        <v>177700</v>
      </c>
      <c r="G27" s="15">
        <v>196500</v>
      </c>
      <c r="H27" s="16">
        <f t="shared" si="0"/>
        <v>18800</v>
      </c>
      <c r="I27" s="16">
        <v>196500</v>
      </c>
      <c r="J27" s="16">
        <f t="shared" si="1"/>
        <v>0</v>
      </c>
      <c r="K27" s="16">
        <v>195928</v>
      </c>
      <c r="L27" s="16">
        <f t="shared" si="2"/>
        <v>-572</v>
      </c>
      <c r="M27" s="16">
        <v>195928</v>
      </c>
      <c r="N27" s="38">
        <f t="shared" si="3"/>
        <v>0</v>
      </c>
    </row>
    <row r="28" spans="1:14" ht="63" x14ac:dyDescent="0.25">
      <c r="A28" s="30" t="s">
        <v>21</v>
      </c>
      <c r="B28" s="16">
        <v>0</v>
      </c>
      <c r="C28" s="16">
        <v>0</v>
      </c>
      <c r="D28" s="16">
        <v>0</v>
      </c>
      <c r="E28" s="16">
        <v>0</v>
      </c>
      <c r="F28" s="15">
        <v>16000000</v>
      </c>
      <c r="G28" s="16">
        <v>7214400</v>
      </c>
      <c r="H28" s="16">
        <f t="shared" si="0"/>
        <v>-8785600</v>
      </c>
      <c r="I28" s="16">
        <v>7214400</v>
      </c>
      <c r="J28" s="16">
        <f t="shared" si="1"/>
        <v>0</v>
      </c>
      <c r="K28" s="16">
        <v>7214328</v>
      </c>
      <c r="L28" s="16">
        <f t="shared" si="2"/>
        <v>-72</v>
      </c>
      <c r="M28" s="16">
        <v>7214328</v>
      </c>
      <c r="N28" s="38">
        <f t="shared" si="3"/>
        <v>0</v>
      </c>
    </row>
    <row r="29" spans="1:14" ht="78.75" x14ac:dyDescent="0.25">
      <c r="A29" s="30" t="s">
        <v>22</v>
      </c>
      <c r="B29" s="16">
        <v>0</v>
      </c>
      <c r="C29" s="16">
        <v>0</v>
      </c>
      <c r="D29" s="16">
        <v>0</v>
      </c>
      <c r="E29" s="16">
        <v>0</v>
      </c>
      <c r="F29" s="15">
        <v>6000000</v>
      </c>
      <c r="G29" s="15">
        <v>1867200</v>
      </c>
      <c r="H29" s="16">
        <f t="shared" si="0"/>
        <v>-4132800</v>
      </c>
      <c r="I29" s="16">
        <v>1867200</v>
      </c>
      <c r="J29" s="16">
        <f t="shared" si="1"/>
        <v>0</v>
      </c>
      <c r="K29" s="16">
        <v>1867194</v>
      </c>
      <c r="L29" s="16">
        <f t="shared" si="2"/>
        <v>-6</v>
      </c>
      <c r="M29" s="16">
        <v>1867194</v>
      </c>
      <c r="N29" s="38">
        <f t="shared" si="3"/>
        <v>0</v>
      </c>
    </row>
    <row r="30" spans="1:14" ht="63" x14ac:dyDescent="0.25">
      <c r="A30" s="30" t="s">
        <v>10</v>
      </c>
      <c r="B30" s="16">
        <v>0</v>
      </c>
      <c r="C30" s="16">
        <v>0</v>
      </c>
      <c r="D30" s="16">
        <v>0</v>
      </c>
      <c r="E30" s="16">
        <v>0</v>
      </c>
      <c r="F30" s="20">
        <v>3300</v>
      </c>
      <c r="G30" s="20">
        <v>23400</v>
      </c>
      <c r="H30" s="16">
        <f t="shared" si="0"/>
        <v>20100</v>
      </c>
      <c r="I30" s="16">
        <v>23400</v>
      </c>
      <c r="J30" s="16">
        <f t="shared" si="1"/>
        <v>0</v>
      </c>
      <c r="K30" s="16">
        <v>23397</v>
      </c>
      <c r="L30" s="16">
        <f t="shared" si="2"/>
        <v>-3</v>
      </c>
      <c r="M30" s="16">
        <v>23397</v>
      </c>
      <c r="N30" s="38">
        <f t="shared" si="3"/>
        <v>0</v>
      </c>
    </row>
    <row r="31" spans="1:14" s="3" customFormat="1" x14ac:dyDescent="0.25">
      <c r="A31" s="33" t="s">
        <v>11</v>
      </c>
      <c r="B31" s="17">
        <f t="shared" ref="B31:F31" si="4">SUM(B10:B30)</f>
        <v>20673462.080000002</v>
      </c>
      <c r="C31" s="17">
        <f t="shared" si="4"/>
        <v>6477.16</v>
      </c>
      <c r="D31" s="17">
        <f t="shared" si="4"/>
        <v>20679939.240000002</v>
      </c>
      <c r="E31" s="17">
        <f t="shared" si="4"/>
        <v>0</v>
      </c>
      <c r="F31" s="17">
        <f t="shared" si="4"/>
        <v>4091847300</v>
      </c>
      <c r="G31" s="17">
        <f>SUM(G10:G30)</f>
        <v>4110388600</v>
      </c>
      <c r="H31" s="17">
        <f t="shared" si="0"/>
        <v>18541300</v>
      </c>
      <c r="I31" s="17">
        <f>SUM(I10:I30)</f>
        <v>4110388600</v>
      </c>
      <c r="J31" s="17">
        <f t="shared" si="1"/>
        <v>0</v>
      </c>
      <c r="K31" s="17">
        <f>SUM(K10:K30)</f>
        <v>4070293518.6199999</v>
      </c>
      <c r="L31" s="17">
        <f t="shared" si="2"/>
        <v>-40095081.380000114</v>
      </c>
      <c r="M31" s="17">
        <f>SUM(M10:M30)</f>
        <v>4070293518.6199999</v>
      </c>
      <c r="N31" s="21">
        <f t="shared" si="3"/>
        <v>0</v>
      </c>
    </row>
    <row r="32" spans="1:14" s="3" customFormat="1" x14ac:dyDescent="0.25">
      <c r="A32" s="41" t="s">
        <v>15</v>
      </c>
      <c r="B32" s="41"/>
      <c r="C32" s="41"/>
      <c r="D32" s="41"/>
      <c r="E32" s="41"/>
      <c r="F32" s="41"/>
      <c r="G32" s="41"/>
      <c r="H32" s="41"/>
      <c r="I32" s="41"/>
      <c r="J32" s="41"/>
      <c r="K32" s="41"/>
      <c r="L32" s="41"/>
      <c r="M32" s="41"/>
      <c r="N32" s="41"/>
    </row>
    <row r="33" spans="1:14" ht="60.75" customHeight="1" x14ac:dyDescent="0.25">
      <c r="A33" s="30" t="s">
        <v>70</v>
      </c>
      <c r="B33" s="16">
        <v>0</v>
      </c>
      <c r="C33" s="16">
        <v>0</v>
      </c>
      <c r="D33" s="16">
        <v>0</v>
      </c>
      <c r="E33" s="16">
        <v>0</v>
      </c>
      <c r="F33" s="20">
        <v>3944799100</v>
      </c>
      <c r="G33" s="20">
        <v>4313088000</v>
      </c>
      <c r="H33" s="16">
        <f t="shared" si="0"/>
        <v>368288900</v>
      </c>
      <c r="I33" s="16">
        <f>2743038600+1570049400</f>
        <v>4313088000</v>
      </c>
      <c r="J33" s="16">
        <f>I33-G33</f>
        <v>0</v>
      </c>
      <c r="K33" s="16">
        <f>2722243374.64+1568908459.25</f>
        <v>4291151833.8899999</v>
      </c>
      <c r="L33" s="16">
        <f>K33-I33</f>
        <v>-21936166.110000134</v>
      </c>
      <c r="M33" s="16">
        <v>4291151833.8899999</v>
      </c>
      <c r="N33" s="38">
        <f t="shared" si="3"/>
        <v>0</v>
      </c>
    </row>
    <row r="34" spans="1:14" ht="391.5" customHeight="1" x14ac:dyDescent="0.25">
      <c r="A34" s="49" t="s">
        <v>87</v>
      </c>
      <c r="B34" s="47">
        <v>0</v>
      </c>
      <c r="C34" s="47">
        <v>0</v>
      </c>
      <c r="D34" s="47">
        <v>0</v>
      </c>
      <c r="E34" s="47">
        <v>0</v>
      </c>
      <c r="F34" s="51">
        <v>0</v>
      </c>
      <c r="G34" s="51">
        <v>102264301.12</v>
      </c>
      <c r="H34" s="47">
        <f t="shared" si="0"/>
        <v>102264301.12</v>
      </c>
      <c r="I34" s="47">
        <v>1.1200000000000001</v>
      </c>
      <c r="J34" s="47">
        <f>I34-G34</f>
        <v>-102264300</v>
      </c>
      <c r="K34" s="47">
        <v>0</v>
      </c>
      <c r="L34" s="47">
        <f>K34-I34</f>
        <v>-1.1200000000000001</v>
      </c>
      <c r="M34" s="47">
        <v>0</v>
      </c>
      <c r="N34" s="53">
        <f t="shared" ref="N34" si="5">B34+C34-D34+E34+K34-M34</f>
        <v>0</v>
      </c>
    </row>
    <row r="35" spans="1:14" ht="380.25" customHeight="1" x14ac:dyDescent="0.25">
      <c r="A35" s="50"/>
      <c r="B35" s="48"/>
      <c r="C35" s="48"/>
      <c r="D35" s="48"/>
      <c r="E35" s="48"/>
      <c r="F35" s="52"/>
      <c r="G35" s="52"/>
      <c r="H35" s="48"/>
      <c r="I35" s="48"/>
      <c r="J35" s="48"/>
      <c r="K35" s="48"/>
      <c r="L35" s="48"/>
      <c r="M35" s="48"/>
      <c r="N35" s="54"/>
    </row>
    <row r="36" spans="1:14" ht="126" x14ac:dyDescent="0.25">
      <c r="A36" s="30" t="s">
        <v>12</v>
      </c>
      <c r="B36" s="16">
        <v>0</v>
      </c>
      <c r="C36" s="16">
        <v>0</v>
      </c>
      <c r="D36" s="16">
        <v>0</v>
      </c>
      <c r="E36" s="16">
        <v>0</v>
      </c>
      <c r="F36" s="20">
        <v>60768000</v>
      </c>
      <c r="G36" s="20">
        <v>48720000</v>
      </c>
      <c r="H36" s="16">
        <f t="shared" si="0"/>
        <v>-12048000</v>
      </c>
      <c r="I36" s="16">
        <v>48720000</v>
      </c>
      <c r="J36" s="16">
        <f t="shared" ref="J36:J81" si="6">I36-G36</f>
        <v>0</v>
      </c>
      <c r="K36" s="16">
        <v>47904000</v>
      </c>
      <c r="L36" s="16">
        <f t="shared" ref="L36:L81" si="7">K36-I36</f>
        <v>-816000</v>
      </c>
      <c r="M36" s="16">
        <v>47904000</v>
      </c>
      <c r="N36" s="38">
        <f t="shared" si="3"/>
        <v>0</v>
      </c>
    </row>
    <row r="37" spans="1:14" s="14" customFormat="1" ht="47.25" x14ac:dyDescent="0.25">
      <c r="A37" s="30" t="s">
        <v>51</v>
      </c>
      <c r="B37" s="16">
        <v>0</v>
      </c>
      <c r="C37" s="16">
        <v>0</v>
      </c>
      <c r="D37" s="16">
        <v>0</v>
      </c>
      <c r="E37" s="16">
        <v>0</v>
      </c>
      <c r="F37" s="20">
        <v>152982600</v>
      </c>
      <c r="G37" s="20">
        <v>152982600</v>
      </c>
      <c r="H37" s="16">
        <f t="shared" si="0"/>
        <v>0</v>
      </c>
      <c r="I37" s="16">
        <v>152982600</v>
      </c>
      <c r="J37" s="16">
        <f t="shared" si="6"/>
        <v>0</v>
      </c>
      <c r="K37" s="16">
        <v>58500000</v>
      </c>
      <c r="L37" s="16">
        <f t="shared" si="7"/>
        <v>-94482600</v>
      </c>
      <c r="M37" s="16">
        <v>58500000</v>
      </c>
      <c r="N37" s="38">
        <f t="shared" si="3"/>
        <v>0</v>
      </c>
    </row>
    <row r="38" spans="1:14" s="9" customFormat="1" ht="35.25" customHeight="1" x14ac:dyDescent="0.25">
      <c r="A38" s="30" t="s">
        <v>52</v>
      </c>
      <c r="B38" s="16">
        <v>0</v>
      </c>
      <c r="C38" s="16">
        <v>0</v>
      </c>
      <c r="D38" s="16">
        <v>0</v>
      </c>
      <c r="E38" s="16">
        <v>0</v>
      </c>
      <c r="F38" s="20">
        <v>451995400</v>
      </c>
      <c r="G38" s="20">
        <v>451995400</v>
      </c>
      <c r="H38" s="16">
        <f t="shared" si="0"/>
        <v>0</v>
      </c>
      <c r="I38" s="16">
        <f>176278200+275717200</f>
        <v>451995400</v>
      </c>
      <c r="J38" s="16">
        <f t="shared" si="6"/>
        <v>0</v>
      </c>
      <c r="K38" s="16">
        <f>176278198.25+275717197.25</f>
        <v>451995395.5</v>
      </c>
      <c r="L38" s="16">
        <f t="shared" si="7"/>
        <v>-4.5</v>
      </c>
      <c r="M38" s="16">
        <f>176278198.25+275717197.25</f>
        <v>451995395.5</v>
      </c>
      <c r="N38" s="38">
        <f t="shared" si="3"/>
        <v>0</v>
      </c>
    </row>
    <row r="39" spans="1:14" s="9" customFormat="1" ht="47.25" x14ac:dyDescent="0.25">
      <c r="A39" s="30" t="s">
        <v>53</v>
      </c>
      <c r="B39" s="16">
        <v>0</v>
      </c>
      <c r="C39" s="16">
        <v>0</v>
      </c>
      <c r="D39" s="16">
        <v>0</v>
      </c>
      <c r="E39" s="16">
        <v>0</v>
      </c>
      <c r="F39" s="20">
        <v>172442200</v>
      </c>
      <c r="G39" s="20">
        <f>401833000</f>
        <v>401833000</v>
      </c>
      <c r="H39" s="16">
        <f t="shared" si="0"/>
        <v>229390800</v>
      </c>
      <c r="I39" s="16">
        <v>401833000</v>
      </c>
      <c r="J39" s="16">
        <f t="shared" si="6"/>
        <v>0</v>
      </c>
      <c r="K39" s="16">
        <v>401832999.57999998</v>
      </c>
      <c r="L39" s="16">
        <f t="shared" si="7"/>
        <v>-0.42000001668930054</v>
      </c>
      <c r="M39" s="16">
        <v>401832999.57999998</v>
      </c>
      <c r="N39" s="38">
        <f t="shared" si="3"/>
        <v>0</v>
      </c>
    </row>
    <row r="40" spans="1:14" s="9" customFormat="1" ht="110.25" x14ac:dyDescent="0.25">
      <c r="A40" s="30" t="s">
        <v>88</v>
      </c>
      <c r="B40" s="16">
        <v>0</v>
      </c>
      <c r="C40" s="16">
        <v>0</v>
      </c>
      <c r="D40" s="16">
        <v>0</v>
      </c>
      <c r="E40" s="16">
        <v>0</v>
      </c>
      <c r="F40" s="20">
        <v>0</v>
      </c>
      <c r="G40" s="20">
        <v>275500000</v>
      </c>
      <c r="H40" s="16">
        <f t="shared" si="0"/>
        <v>275500000</v>
      </c>
      <c r="I40" s="16">
        <v>275500000</v>
      </c>
      <c r="J40" s="16">
        <f t="shared" si="6"/>
        <v>0</v>
      </c>
      <c r="K40" s="16">
        <v>275500000</v>
      </c>
      <c r="L40" s="16">
        <f t="shared" si="7"/>
        <v>0</v>
      </c>
      <c r="M40" s="16">
        <v>275500000</v>
      </c>
      <c r="N40" s="38">
        <f t="shared" si="3"/>
        <v>0</v>
      </c>
    </row>
    <row r="41" spans="1:14" s="9" customFormat="1" ht="63" x14ac:dyDescent="0.25">
      <c r="A41" s="30" t="s">
        <v>54</v>
      </c>
      <c r="B41" s="16">
        <v>0</v>
      </c>
      <c r="C41" s="16">
        <v>0</v>
      </c>
      <c r="D41" s="16">
        <v>0</v>
      </c>
      <c r="E41" s="16">
        <v>0</v>
      </c>
      <c r="F41" s="20">
        <v>77461600</v>
      </c>
      <c r="G41" s="20">
        <f>40454100+49444300</f>
        <v>89898400</v>
      </c>
      <c r="H41" s="16">
        <f t="shared" si="0"/>
        <v>12436800</v>
      </c>
      <c r="I41" s="16">
        <v>89898400</v>
      </c>
      <c r="J41" s="16">
        <f t="shared" si="6"/>
        <v>0</v>
      </c>
      <c r="K41" s="16">
        <f>40453695.94+49443906.34</f>
        <v>89897602.280000001</v>
      </c>
      <c r="L41" s="16">
        <f t="shared" si="7"/>
        <v>-797.71999999880791</v>
      </c>
      <c r="M41" s="16">
        <f>40453695.94+49443906.34</f>
        <v>89897602.280000001</v>
      </c>
      <c r="N41" s="38">
        <f t="shared" si="3"/>
        <v>0</v>
      </c>
    </row>
    <row r="42" spans="1:14" s="9" customFormat="1" ht="78.75" x14ac:dyDescent="0.25">
      <c r="A42" s="30" t="s">
        <v>71</v>
      </c>
      <c r="B42" s="16">
        <v>0</v>
      </c>
      <c r="C42" s="16">
        <v>0</v>
      </c>
      <c r="D42" s="16">
        <v>0</v>
      </c>
      <c r="E42" s="16">
        <v>0</v>
      </c>
      <c r="F42" s="20">
        <v>4142100</v>
      </c>
      <c r="G42" s="20">
        <v>4142100</v>
      </c>
      <c r="H42" s="16">
        <f t="shared" si="0"/>
        <v>0</v>
      </c>
      <c r="I42" s="16">
        <f>1615400+2526700</f>
        <v>4142100</v>
      </c>
      <c r="J42" s="16">
        <f t="shared" si="6"/>
        <v>0</v>
      </c>
      <c r="K42" s="16">
        <f>1613577.38+2523800.14</f>
        <v>4137377.52</v>
      </c>
      <c r="L42" s="16">
        <f t="shared" si="7"/>
        <v>-4722.4799999999814</v>
      </c>
      <c r="M42" s="16">
        <f>1613577.38+2523800.14</f>
        <v>4137377.52</v>
      </c>
      <c r="N42" s="38">
        <f t="shared" si="3"/>
        <v>0</v>
      </c>
    </row>
    <row r="43" spans="1:14" s="14" customFormat="1" ht="100.5" customHeight="1" x14ac:dyDescent="0.25">
      <c r="A43" s="30" t="s">
        <v>25</v>
      </c>
      <c r="B43" s="16">
        <v>0</v>
      </c>
      <c r="C43" s="16">
        <v>0</v>
      </c>
      <c r="D43" s="16">
        <v>0</v>
      </c>
      <c r="E43" s="16">
        <v>0</v>
      </c>
      <c r="F43" s="20">
        <v>21989400</v>
      </c>
      <c r="G43" s="20">
        <v>19558000</v>
      </c>
      <c r="H43" s="16">
        <f t="shared" si="0"/>
        <v>-2431400</v>
      </c>
      <c r="I43" s="16">
        <v>19558000</v>
      </c>
      <c r="J43" s="16">
        <f t="shared" si="6"/>
        <v>0</v>
      </c>
      <c r="K43" s="16">
        <v>19495618.670000002</v>
      </c>
      <c r="L43" s="16">
        <f t="shared" si="7"/>
        <v>-62381.329999998212</v>
      </c>
      <c r="M43" s="16">
        <v>19495618.670000002</v>
      </c>
      <c r="N43" s="38">
        <f t="shared" si="3"/>
        <v>0</v>
      </c>
    </row>
    <row r="44" spans="1:14" s="9" customFormat="1" ht="47.25" x14ac:dyDescent="0.25">
      <c r="A44" s="30" t="s">
        <v>37</v>
      </c>
      <c r="B44" s="16">
        <v>0</v>
      </c>
      <c r="C44" s="16">
        <v>0</v>
      </c>
      <c r="D44" s="16">
        <v>0</v>
      </c>
      <c r="E44" s="16">
        <v>0</v>
      </c>
      <c r="F44" s="20">
        <v>376100</v>
      </c>
      <c r="G44" s="20">
        <v>376100</v>
      </c>
      <c r="H44" s="16">
        <f t="shared" si="0"/>
        <v>0</v>
      </c>
      <c r="I44" s="16">
        <v>376100</v>
      </c>
      <c r="J44" s="16">
        <f t="shared" si="6"/>
        <v>0</v>
      </c>
      <c r="K44" s="16">
        <v>376100</v>
      </c>
      <c r="L44" s="16">
        <f t="shared" si="7"/>
        <v>0</v>
      </c>
      <c r="M44" s="16">
        <v>376100</v>
      </c>
      <c r="N44" s="38">
        <f t="shared" si="3"/>
        <v>0</v>
      </c>
    </row>
    <row r="45" spans="1:14" s="14" customFormat="1" ht="31.5" x14ac:dyDescent="0.25">
      <c r="A45" s="30" t="s">
        <v>38</v>
      </c>
      <c r="B45" s="16">
        <v>0</v>
      </c>
      <c r="C45" s="16">
        <v>0</v>
      </c>
      <c r="D45" s="16">
        <v>0</v>
      </c>
      <c r="E45" s="16">
        <v>0</v>
      </c>
      <c r="F45" s="20">
        <v>401130400</v>
      </c>
      <c r="G45" s="20">
        <v>401130400</v>
      </c>
      <c r="H45" s="16">
        <f t="shared" si="0"/>
        <v>0</v>
      </c>
      <c r="I45" s="16">
        <v>401130400</v>
      </c>
      <c r="J45" s="16">
        <f t="shared" si="6"/>
        <v>0</v>
      </c>
      <c r="K45" s="16">
        <v>401130400</v>
      </c>
      <c r="L45" s="16">
        <f t="shared" si="7"/>
        <v>0</v>
      </c>
      <c r="M45" s="16">
        <v>401130400</v>
      </c>
      <c r="N45" s="38">
        <f t="shared" si="3"/>
        <v>0</v>
      </c>
    </row>
    <row r="46" spans="1:14" s="9" customFormat="1" ht="31.5" x14ac:dyDescent="0.25">
      <c r="A46" s="30" t="s">
        <v>44</v>
      </c>
      <c r="B46" s="16">
        <v>0</v>
      </c>
      <c r="C46" s="16">
        <v>0</v>
      </c>
      <c r="D46" s="16">
        <v>0</v>
      </c>
      <c r="E46" s="16">
        <v>0</v>
      </c>
      <c r="F46" s="20">
        <v>473100</v>
      </c>
      <c r="G46" s="20">
        <f>212893.87+260206.13</f>
        <v>473100</v>
      </c>
      <c r="H46" s="16">
        <f t="shared" si="0"/>
        <v>0</v>
      </c>
      <c r="I46" s="16">
        <f>212893.87+260206.13</f>
        <v>473100</v>
      </c>
      <c r="J46" s="16">
        <f t="shared" si="6"/>
        <v>0</v>
      </c>
      <c r="K46" s="16">
        <f>212893.87+260206.13</f>
        <v>473100</v>
      </c>
      <c r="L46" s="16">
        <f t="shared" si="7"/>
        <v>0</v>
      </c>
      <c r="M46" s="16">
        <f>212893.87+260206.13</f>
        <v>473100</v>
      </c>
      <c r="N46" s="38">
        <f t="shared" si="3"/>
        <v>0</v>
      </c>
    </row>
    <row r="47" spans="1:14" s="9" customFormat="1" ht="81" customHeight="1" x14ac:dyDescent="0.25">
      <c r="A47" s="30" t="s">
        <v>72</v>
      </c>
      <c r="B47" s="16">
        <v>0</v>
      </c>
      <c r="C47" s="16">
        <v>0</v>
      </c>
      <c r="D47" s="16">
        <v>0</v>
      </c>
      <c r="E47" s="16">
        <v>0</v>
      </c>
      <c r="F47" s="20">
        <v>473500</v>
      </c>
      <c r="G47" s="20">
        <v>473500</v>
      </c>
      <c r="H47" s="16">
        <f t="shared" si="0"/>
        <v>0</v>
      </c>
      <c r="I47" s="16">
        <v>473500</v>
      </c>
      <c r="J47" s="16">
        <f t="shared" si="6"/>
        <v>0</v>
      </c>
      <c r="K47" s="16">
        <v>473500</v>
      </c>
      <c r="L47" s="16">
        <f t="shared" si="7"/>
        <v>0</v>
      </c>
      <c r="M47" s="16">
        <v>473500</v>
      </c>
      <c r="N47" s="38">
        <f t="shared" si="3"/>
        <v>0</v>
      </c>
    </row>
    <row r="48" spans="1:14" s="9" customFormat="1" ht="68.25" customHeight="1" x14ac:dyDescent="0.25">
      <c r="A48" s="30" t="s">
        <v>89</v>
      </c>
      <c r="B48" s="16">
        <v>0</v>
      </c>
      <c r="C48" s="16">
        <v>32113.17</v>
      </c>
      <c r="D48" s="16">
        <v>32113.17</v>
      </c>
      <c r="E48" s="16">
        <v>0</v>
      </c>
      <c r="F48" s="20">
        <v>0</v>
      </c>
      <c r="G48" s="20">
        <v>0</v>
      </c>
      <c r="H48" s="16">
        <f t="shared" si="0"/>
        <v>0</v>
      </c>
      <c r="I48" s="16">
        <v>0</v>
      </c>
      <c r="J48" s="16">
        <f t="shared" si="6"/>
        <v>0</v>
      </c>
      <c r="K48" s="16">
        <v>0</v>
      </c>
      <c r="L48" s="16">
        <f t="shared" si="7"/>
        <v>0</v>
      </c>
      <c r="M48" s="16">
        <v>0</v>
      </c>
      <c r="N48" s="38">
        <f t="shared" si="3"/>
        <v>0</v>
      </c>
    </row>
    <row r="49" spans="1:14" s="9" customFormat="1" ht="31.5" x14ac:dyDescent="0.25">
      <c r="A49" s="30" t="s">
        <v>73</v>
      </c>
      <c r="B49" s="16">
        <v>0</v>
      </c>
      <c r="C49" s="16">
        <v>285000</v>
      </c>
      <c r="D49" s="16">
        <v>285000</v>
      </c>
      <c r="E49" s="16">
        <v>0</v>
      </c>
      <c r="F49" s="20">
        <v>0</v>
      </c>
      <c r="G49" s="20">
        <v>0</v>
      </c>
      <c r="H49" s="16">
        <v>0</v>
      </c>
      <c r="I49" s="16">
        <v>0</v>
      </c>
      <c r="J49" s="16">
        <v>0</v>
      </c>
      <c r="K49" s="16">
        <v>0</v>
      </c>
      <c r="L49" s="16">
        <v>0</v>
      </c>
      <c r="M49" s="16">
        <v>0</v>
      </c>
      <c r="N49" s="38">
        <v>0</v>
      </c>
    </row>
    <row r="50" spans="1:14" s="9" customFormat="1" ht="31.5" x14ac:dyDescent="0.25">
      <c r="A50" s="30" t="s">
        <v>55</v>
      </c>
      <c r="B50" s="16">
        <v>0</v>
      </c>
      <c r="C50" s="16">
        <v>0</v>
      </c>
      <c r="D50" s="16">
        <v>0</v>
      </c>
      <c r="E50" s="16">
        <v>0</v>
      </c>
      <c r="F50" s="20">
        <v>4143000</v>
      </c>
      <c r="G50" s="20">
        <v>6143000</v>
      </c>
      <c r="H50" s="16">
        <f t="shared" si="0"/>
        <v>2000000</v>
      </c>
      <c r="I50" s="16">
        <v>6143000</v>
      </c>
      <c r="J50" s="16">
        <f t="shared" si="6"/>
        <v>0</v>
      </c>
      <c r="K50" s="16">
        <v>6143000</v>
      </c>
      <c r="L50" s="16">
        <f t="shared" si="7"/>
        <v>0</v>
      </c>
      <c r="M50" s="16">
        <v>6143000</v>
      </c>
      <c r="N50" s="38">
        <f t="shared" si="3"/>
        <v>0</v>
      </c>
    </row>
    <row r="51" spans="1:14" s="9" customFormat="1" ht="47.25" x14ac:dyDescent="0.25">
      <c r="A51" s="30" t="s">
        <v>74</v>
      </c>
      <c r="B51" s="16">
        <v>0</v>
      </c>
      <c r="C51" s="16">
        <v>0</v>
      </c>
      <c r="D51" s="16">
        <v>0</v>
      </c>
      <c r="E51" s="16">
        <v>0</v>
      </c>
      <c r="F51" s="20">
        <v>1121900</v>
      </c>
      <c r="G51" s="20">
        <v>1121900</v>
      </c>
      <c r="H51" s="16">
        <f t="shared" si="0"/>
        <v>0</v>
      </c>
      <c r="I51" s="16">
        <f>504851.5+617048.5</f>
        <v>1121900</v>
      </c>
      <c r="J51" s="16">
        <f t="shared" si="6"/>
        <v>0</v>
      </c>
      <c r="K51" s="16">
        <f>504851.5+617048.5</f>
        <v>1121900</v>
      </c>
      <c r="L51" s="16">
        <f t="shared" si="7"/>
        <v>0</v>
      </c>
      <c r="M51" s="16">
        <f>504851.5+617048.5</f>
        <v>1121900</v>
      </c>
      <c r="N51" s="38">
        <f t="shared" si="3"/>
        <v>0</v>
      </c>
    </row>
    <row r="52" spans="1:14" s="14" customFormat="1" ht="130.5" customHeight="1" x14ac:dyDescent="0.25">
      <c r="A52" s="30" t="s">
        <v>75</v>
      </c>
      <c r="B52" s="16">
        <v>0</v>
      </c>
      <c r="C52" s="16">
        <v>0</v>
      </c>
      <c r="D52" s="16">
        <v>0</v>
      </c>
      <c r="E52" s="16">
        <v>0</v>
      </c>
      <c r="F52" s="20">
        <v>20582800</v>
      </c>
      <c r="G52" s="20">
        <v>20582800</v>
      </c>
      <c r="H52" s="16">
        <f t="shared" si="0"/>
        <v>0</v>
      </c>
      <c r="I52" s="16">
        <v>20582800</v>
      </c>
      <c r="J52" s="16">
        <f t="shared" si="6"/>
        <v>0</v>
      </c>
      <c r="K52" s="16">
        <v>20577195</v>
      </c>
      <c r="L52" s="16">
        <f t="shared" si="7"/>
        <v>-5605</v>
      </c>
      <c r="M52" s="16">
        <v>20577195</v>
      </c>
      <c r="N52" s="38">
        <f t="shared" si="3"/>
        <v>0</v>
      </c>
    </row>
    <row r="53" spans="1:14" s="14" customFormat="1" ht="47.25" x14ac:dyDescent="0.25">
      <c r="A53" s="30" t="s">
        <v>45</v>
      </c>
      <c r="B53" s="16">
        <v>0</v>
      </c>
      <c r="C53" s="16">
        <v>0</v>
      </c>
      <c r="D53" s="16">
        <v>0</v>
      </c>
      <c r="E53" s="16">
        <v>0</v>
      </c>
      <c r="F53" s="20">
        <v>1545900</v>
      </c>
      <c r="G53" s="20">
        <v>1545900</v>
      </c>
      <c r="H53" s="16">
        <f t="shared" si="0"/>
        <v>0</v>
      </c>
      <c r="I53" s="16">
        <v>1545900</v>
      </c>
      <c r="J53" s="16">
        <f t="shared" si="6"/>
        <v>0</v>
      </c>
      <c r="K53" s="16">
        <v>1545900</v>
      </c>
      <c r="L53" s="16">
        <f t="shared" si="7"/>
        <v>0</v>
      </c>
      <c r="M53" s="16">
        <v>1545900</v>
      </c>
      <c r="N53" s="38">
        <f t="shared" si="3"/>
        <v>0</v>
      </c>
    </row>
    <row r="54" spans="1:14" s="9" customFormat="1" ht="78.75" x14ac:dyDescent="0.25">
      <c r="A54" s="30" t="s">
        <v>56</v>
      </c>
      <c r="B54" s="16">
        <v>0</v>
      </c>
      <c r="C54" s="16">
        <v>0</v>
      </c>
      <c r="D54" s="16">
        <v>0</v>
      </c>
      <c r="E54" s="16">
        <v>0</v>
      </c>
      <c r="F54" s="20">
        <v>9276700</v>
      </c>
      <c r="G54" s="20">
        <v>9276700</v>
      </c>
      <c r="H54" s="16">
        <f t="shared" si="0"/>
        <v>0</v>
      </c>
      <c r="I54" s="16">
        <v>9276700</v>
      </c>
      <c r="J54" s="16">
        <f t="shared" si="6"/>
        <v>0</v>
      </c>
      <c r="K54" s="16">
        <v>9058862.9800000004</v>
      </c>
      <c r="L54" s="16">
        <f t="shared" si="7"/>
        <v>-217837.01999999955</v>
      </c>
      <c r="M54" s="16">
        <v>9058862.9800000004</v>
      </c>
      <c r="N54" s="38">
        <f t="shared" si="3"/>
        <v>0</v>
      </c>
    </row>
    <row r="55" spans="1:14" s="9" customFormat="1" ht="78.75" x14ac:dyDescent="0.25">
      <c r="A55" s="30" t="s">
        <v>26</v>
      </c>
      <c r="B55" s="16">
        <v>0</v>
      </c>
      <c r="C55" s="16">
        <v>0</v>
      </c>
      <c r="D55" s="16">
        <v>0</v>
      </c>
      <c r="E55" s="16">
        <v>0</v>
      </c>
      <c r="F55" s="20">
        <v>936900</v>
      </c>
      <c r="G55" s="20">
        <f>421602.23+515297.77</f>
        <v>936900</v>
      </c>
      <c r="H55" s="16">
        <f t="shared" si="0"/>
        <v>0</v>
      </c>
      <c r="I55" s="16">
        <v>936900</v>
      </c>
      <c r="J55" s="16">
        <f t="shared" si="6"/>
        <v>0</v>
      </c>
      <c r="K55" s="16">
        <v>936900</v>
      </c>
      <c r="L55" s="16">
        <f t="shared" si="7"/>
        <v>0</v>
      </c>
      <c r="M55" s="16">
        <v>936900</v>
      </c>
      <c r="N55" s="38">
        <f t="shared" si="3"/>
        <v>0</v>
      </c>
    </row>
    <row r="56" spans="1:14" s="9" customFormat="1" ht="47.25" x14ac:dyDescent="0.25">
      <c r="A56" s="32" t="s">
        <v>76</v>
      </c>
      <c r="B56" s="16">
        <v>0</v>
      </c>
      <c r="C56" s="16">
        <v>0</v>
      </c>
      <c r="D56" s="16">
        <v>0</v>
      </c>
      <c r="E56" s="16">
        <v>0</v>
      </c>
      <c r="F56" s="20">
        <v>0</v>
      </c>
      <c r="G56" s="20">
        <v>112305400</v>
      </c>
      <c r="H56" s="16">
        <f t="shared" si="0"/>
        <v>112305400</v>
      </c>
      <c r="I56" s="16">
        <v>112305400</v>
      </c>
      <c r="J56" s="16">
        <f t="shared" si="6"/>
        <v>0</v>
      </c>
      <c r="K56" s="16">
        <v>90811028.010000005</v>
      </c>
      <c r="L56" s="16">
        <f t="shared" si="7"/>
        <v>-21494371.989999995</v>
      </c>
      <c r="M56" s="16">
        <v>90811028.010000005</v>
      </c>
      <c r="N56" s="38">
        <f t="shared" si="3"/>
        <v>0</v>
      </c>
    </row>
    <row r="57" spans="1:14" s="9" customFormat="1" ht="31.5" x14ac:dyDescent="0.25">
      <c r="A57" s="30" t="s">
        <v>77</v>
      </c>
      <c r="B57" s="16">
        <v>0</v>
      </c>
      <c r="C57" s="16">
        <v>0</v>
      </c>
      <c r="D57" s="16">
        <v>0</v>
      </c>
      <c r="E57" s="16">
        <v>0</v>
      </c>
      <c r="F57" s="20">
        <v>77433500</v>
      </c>
      <c r="G57" s="20">
        <v>8978298.8800000008</v>
      </c>
      <c r="H57" s="16">
        <f t="shared" si="0"/>
        <v>-68455201.120000005</v>
      </c>
      <c r="I57" s="16">
        <v>8978298.8800000008</v>
      </c>
      <c r="J57" s="16">
        <f t="shared" si="6"/>
        <v>0</v>
      </c>
      <c r="K57" s="16">
        <v>8978298.8800000008</v>
      </c>
      <c r="L57" s="16">
        <f t="shared" si="7"/>
        <v>0</v>
      </c>
      <c r="M57" s="16">
        <v>8978298.8800000008</v>
      </c>
      <c r="N57" s="38">
        <f t="shared" si="3"/>
        <v>0</v>
      </c>
    </row>
    <row r="58" spans="1:14" s="9" customFormat="1" ht="31.5" x14ac:dyDescent="0.25">
      <c r="A58" s="30" t="s">
        <v>78</v>
      </c>
      <c r="B58" s="16">
        <v>0</v>
      </c>
      <c r="C58" s="16">
        <v>0</v>
      </c>
      <c r="D58" s="16">
        <v>0</v>
      </c>
      <c r="E58" s="16">
        <v>0</v>
      </c>
      <c r="F58" s="20">
        <v>11867400</v>
      </c>
      <c r="G58" s="20">
        <f>11867400-9155600</f>
        <v>2711800</v>
      </c>
      <c r="H58" s="16">
        <f t="shared" si="0"/>
        <v>-9155600</v>
      </c>
      <c r="I58" s="16">
        <v>2711800</v>
      </c>
      <c r="J58" s="16">
        <f t="shared" si="6"/>
        <v>0</v>
      </c>
      <c r="K58" s="16">
        <v>2711800</v>
      </c>
      <c r="L58" s="16">
        <f t="shared" si="7"/>
        <v>0</v>
      </c>
      <c r="M58" s="16">
        <v>2711800</v>
      </c>
      <c r="N58" s="38">
        <f t="shared" si="3"/>
        <v>0</v>
      </c>
    </row>
    <row r="59" spans="1:14" s="9" customFormat="1" ht="31.5" x14ac:dyDescent="0.25">
      <c r="A59" s="30" t="s">
        <v>39</v>
      </c>
      <c r="B59" s="16">
        <v>0</v>
      </c>
      <c r="C59" s="16">
        <v>0</v>
      </c>
      <c r="D59" s="16">
        <v>0</v>
      </c>
      <c r="E59" s="16">
        <v>0</v>
      </c>
      <c r="F59" s="20">
        <v>2347100</v>
      </c>
      <c r="G59" s="20">
        <f>168724.47+2579048.88</f>
        <v>2747773.35</v>
      </c>
      <c r="H59" s="16">
        <f>G59-F59</f>
        <v>400673.35000000009</v>
      </c>
      <c r="I59" s="16">
        <f>168724.47+2579048.88</f>
        <v>2747773.35</v>
      </c>
      <c r="J59" s="16">
        <f t="shared" si="6"/>
        <v>0</v>
      </c>
      <c r="K59" s="16">
        <f>168724.47+2579048.88</f>
        <v>2747773.35</v>
      </c>
      <c r="L59" s="16">
        <f t="shared" si="7"/>
        <v>0</v>
      </c>
      <c r="M59" s="16">
        <f>168724.47+2579048.88</f>
        <v>2747773.35</v>
      </c>
      <c r="N59" s="38">
        <f t="shared" si="3"/>
        <v>0</v>
      </c>
    </row>
    <row r="60" spans="1:14" s="9" customFormat="1" ht="31.5" x14ac:dyDescent="0.25">
      <c r="A60" s="30" t="s">
        <v>13</v>
      </c>
      <c r="B60" s="16">
        <v>0</v>
      </c>
      <c r="C60" s="16">
        <v>1223.42</v>
      </c>
      <c r="D60" s="16">
        <v>1223.42</v>
      </c>
      <c r="E60" s="16">
        <v>0</v>
      </c>
      <c r="F60" s="20">
        <v>68800</v>
      </c>
      <c r="G60" s="20">
        <v>68800</v>
      </c>
      <c r="H60" s="16">
        <f t="shared" si="0"/>
        <v>0</v>
      </c>
      <c r="I60" s="16">
        <v>68800</v>
      </c>
      <c r="J60" s="16">
        <f t="shared" si="6"/>
        <v>0</v>
      </c>
      <c r="K60" s="16">
        <v>68735.5</v>
      </c>
      <c r="L60" s="16">
        <f t="shared" si="7"/>
        <v>-64.5</v>
      </c>
      <c r="M60" s="16">
        <v>68735.5</v>
      </c>
      <c r="N60" s="38">
        <f t="shared" si="3"/>
        <v>0</v>
      </c>
    </row>
    <row r="61" spans="1:14" s="9" customFormat="1" ht="31.5" x14ac:dyDescent="0.25">
      <c r="A61" s="30" t="s">
        <v>49</v>
      </c>
      <c r="B61" s="16">
        <v>0</v>
      </c>
      <c r="C61" s="16">
        <v>0</v>
      </c>
      <c r="D61" s="16">
        <v>0</v>
      </c>
      <c r="E61" s="16">
        <v>0</v>
      </c>
      <c r="F61" s="20">
        <v>0</v>
      </c>
      <c r="G61" s="20">
        <v>6850011.8099999996</v>
      </c>
      <c r="H61" s="16">
        <f t="shared" si="0"/>
        <v>6850011.8099999996</v>
      </c>
      <c r="I61" s="20">
        <v>6850011.8099999996</v>
      </c>
      <c r="J61" s="16">
        <f t="shared" si="6"/>
        <v>0</v>
      </c>
      <c r="K61" s="16">
        <v>6850011.8099999996</v>
      </c>
      <c r="L61" s="16">
        <f t="shared" si="7"/>
        <v>0</v>
      </c>
      <c r="M61" s="16">
        <v>6850011.8099999996</v>
      </c>
      <c r="N61" s="38">
        <f t="shared" si="3"/>
        <v>0</v>
      </c>
    </row>
    <row r="62" spans="1:14" s="14" customFormat="1" ht="63" x14ac:dyDescent="0.25">
      <c r="A62" s="30" t="s">
        <v>46</v>
      </c>
      <c r="B62" s="16">
        <v>0</v>
      </c>
      <c r="C62" s="16">
        <v>0</v>
      </c>
      <c r="D62" s="16">
        <v>0</v>
      </c>
      <c r="E62" s="16">
        <v>0</v>
      </c>
      <c r="F62" s="20">
        <v>106799200</v>
      </c>
      <c r="G62" s="20">
        <f>43025900+52587500+1321100</f>
        <v>96934500</v>
      </c>
      <c r="H62" s="16">
        <f t="shared" si="0"/>
        <v>-9864700</v>
      </c>
      <c r="I62" s="16">
        <v>95613400</v>
      </c>
      <c r="J62" s="16">
        <f t="shared" si="6"/>
        <v>-1321100</v>
      </c>
      <c r="K62" s="16">
        <f>40540123.79+49549045.86</f>
        <v>90089169.650000006</v>
      </c>
      <c r="L62" s="16">
        <f t="shared" si="7"/>
        <v>-5524230.349999994</v>
      </c>
      <c r="M62" s="16">
        <f>40540123.79+49549045.86</f>
        <v>90089169.650000006</v>
      </c>
      <c r="N62" s="38">
        <f t="shared" si="3"/>
        <v>0</v>
      </c>
    </row>
    <row r="63" spans="1:14" s="9" customFormat="1" ht="78.75" x14ac:dyDescent="0.25">
      <c r="A63" s="30" t="s">
        <v>47</v>
      </c>
      <c r="B63" s="16">
        <v>0</v>
      </c>
      <c r="C63" s="16">
        <v>0</v>
      </c>
      <c r="D63" s="16">
        <v>0</v>
      </c>
      <c r="E63" s="16">
        <v>0</v>
      </c>
      <c r="F63" s="20">
        <v>195600</v>
      </c>
      <c r="G63" s="20">
        <v>195600</v>
      </c>
      <c r="H63" s="16">
        <f t="shared" si="0"/>
        <v>0</v>
      </c>
      <c r="I63" s="16">
        <v>195600</v>
      </c>
      <c r="J63" s="16">
        <f t="shared" si="6"/>
        <v>0</v>
      </c>
      <c r="K63" s="16">
        <v>195600</v>
      </c>
      <c r="L63" s="16">
        <f t="shared" si="7"/>
        <v>0</v>
      </c>
      <c r="M63" s="16">
        <v>195600</v>
      </c>
      <c r="N63" s="38">
        <f t="shared" si="3"/>
        <v>0</v>
      </c>
    </row>
    <row r="64" spans="1:14" s="9" customFormat="1" ht="108.75" customHeight="1" x14ac:dyDescent="0.25">
      <c r="A64" s="30" t="s">
        <v>48</v>
      </c>
      <c r="B64" s="16">
        <v>0</v>
      </c>
      <c r="C64" s="16">
        <v>0</v>
      </c>
      <c r="D64" s="16">
        <v>0</v>
      </c>
      <c r="E64" s="16">
        <v>0</v>
      </c>
      <c r="F64" s="20">
        <v>673900</v>
      </c>
      <c r="G64" s="20">
        <v>473900</v>
      </c>
      <c r="H64" s="16">
        <f t="shared" si="0"/>
        <v>-200000</v>
      </c>
      <c r="I64" s="16">
        <v>473900</v>
      </c>
      <c r="J64" s="16">
        <f t="shared" si="6"/>
        <v>0</v>
      </c>
      <c r="K64" s="16">
        <v>473752</v>
      </c>
      <c r="L64" s="16">
        <f t="shared" si="7"/>
        <v>-148</v>
      </c>
      <c r="M64" s="16">
        <v>473752</v>
      </c>
      <c r="N64" s="38">
        <f t="shared" si="3"/>
        <v>0</v>
      </c>
    </row>
    <row r="65" spans="1:14" s="10" customFormat="1" ht="31.5" x14ac:dyDescent="0.25">
      <c r="A65" s="30" t="s">
        <v>14</v>
      </c>
      <c r="B65" s="16">
        <v>0</v>
      </c>
      <c r="C65" s="16">
        <v>0</v>
      </c>
      <c r="D65" s="16">
        <v>0</v>
      </c>
      <c r="E65" s="16">
        <v>0</v>
      </c>
      <c r="F65" s="20">
        <v>9108700</v>
      </c>
      <c r="G65" s="20">
        <v>0</v>
      </c>
      <c r="H65" s="16">
        <f t="shared" si="0"/>
        <v>-9108700</v>
      </c>
      <c r="I65" s="16">
        <v>0</v>
      </c>
      <c r="J65" s="16">
        <f t="shared" si="6"/>
        <v>0</v>
      </c>
      <c r="K65" s="16">
        <v>0</v>
      </c>
      <c r="L65" s="16">
        <f t="shared" si="7"/>
        <v>0</v>
      </c>
      <c r="M65" s="16">
        <v>0</v>
      </c>
      <c r="N65" s="38">
        <f t="shared" si="3"/>
        <v>0</v>
      </c>
    </row>
    <row r="66" spans="1:14" s="9" customFormat="1" ht="31.5" x14ac:dyDescent="0.25">
      <c r="A66" s="30" t="s">
        <v>23</v>
      </c>
      <c r="B66" s="16">
        <v>0</v>
      </c>
      <c r="C66" s="16">
        <v>0</v>
      </c>
      <c r="D66" s="16">
        <v>0</v>
      </c>
      <c r="E66" s="16">
        <v>0</v>
      </c>
      <c r="F66" s="20">
        <v>26648500</v>
      </c>
      <c r="G66" s="20">
        <f>10250856.35+16032795.48</f>
        <v>26283651.829999998</v>
      </c>
      <c r="H66" s="16">
        <f t="shared" si="0"/>
        <v>-364848.17000000179</v>
      </c>
      <c r="I66" s="16">
        <v>26283651.829999998</v>
      </c>
      <c r="J66" s="16">
        <f t="shared" si="6"/>
        <v>0</v>
      </c>
      <c r="K66" s="16">
        <f>16032795.46+10250856.35</f>
        <v>26283651.810000002</v>
      </c>
      <c r="L66" s="16">
        <f t="shared" si="7"/>
        <v>-1.9999995827674866E-2</v>
      </c>
      <c r="M66" s="16">
        <f>10250856.35+16032795.46</f>
        <v>26283651.810000002</v>
      </c>
      <c r="N66" s="38">
        <f t="shared" si="3"/>
        <v>0</v>
      </c>
    </row>
    <row r="67" spans="1:14" ht="31.5" x14ac:dyDescent="0.25">
      <c r="A67" s="30" t="s">
        <v>79</v>
      </c>
      <c r="B67" s="16">
        <v>0</v>
      </c>
      <c r="C67" s="16">
        <v>0</v>
      </c>
      <c r="D67" s="16">
        <v>0</v>
      </c>
      <c r="E67" s="16">
        <v>0</v>
      </c>
      <c r="F67" s="20">
        <v>0</v>
      </c>
      <c r="G67" s="25">
        <f>36709000+16047000</f>
        <v>52756000</v>
      </c>
      <c r="H67" s="16">
        <f t="shared" si="0"/>
        <v>52756000</v>
      </c>
      <c r="I67" s="25">
        <v>52756000</v>
      </c>
      <c r="J67" s="16">
        <f t="shared" si="6"/>
        <v>0</v>
      </c>
      <c r="K67" s="16">
        <f>36708999.68+16047000</f>
        <v>52755999.68</v>
      </c>
      <c r="L67" s="16">
        <f t="shared" si="7"/>
        <v>-0.32000000029802322</v>
      </c>
      <c r="M67" s="16">
        <f>36708999.68+16047000</f>
        <v>52755999.68</v>
      </c>
      <c r="N67" s="38">
        <f t="shared" si="3"/>
        <v>0</v>
      </c>
    </row>
    <row r="68" spans="1:14" x14ac:dyDescent="0.25">
      <c r="A68" s="33" t="s">
        <v>16</v>
      </c>
      <c r="B68" s="17">
        <f t="shared" ref="B68:G68" si="8">SUM(B33:B67)</f>
        <v>0</v>
      </c>
      <c r="C68" s="17">
        <f>SUM(C33:C67)</f>
        <v>318336.58999999997</v>
      </c>
      <c r="D68" s="17">
        <f t="shared" si="8"/>
        <v>318336.58999999997</v>
      </c>
      <c r="E68" s="17">
        <f t="shared" si="8"/>
        <v>0</v>
      </c>
      <c r="F68" s="17">
        <f t="shared" si="8"/>
        <v>5561783400</v>
      </c>
      <c r="G68" s="17">
        <f t="shared" si="8"/>
        <v>6612347836.9900007</v>
      </c>
      <c r="H68" s="17">
        <f t="shared" si="0"/>
        <v>1050564436.9900007</v>
      </c>
      <c r="I68" s="17">
        <f>SUM(I33:I67)</f>
        <v>6508762436.9900007</v>
      </c>
      <c r="J68" s="17">
        <f t="shared" si="6"/>
        <v>-103585400</v>
      </c>
      <c r="K68" s="17">
        <f>SUM(K33:K67)</f>
        <v>6364217506.1100006</v>
      </c>
      <c r="L68" s="17">
        <f t="shared" si="7"/>
        <v>-144544930.88000011</v>
      </c>
      <c r="M68" s="17">
        <f>SUM(M33:M67)</f>
        <v>6364217506.1100006</v>
      </c>
      <c r="N68" s="21">
        <f t="shared" si="3"/>
        <v>0</v>
      </c>
    </row>
    <row r="69" spans="1:14" x14ac:dyDescent="0.25">
      <c r="A69" s="40" t="s">
        <v>17</v>
      </c>
      <c r="B69" s="40"/>
      <c r="C69" s="40"/>
      <c r="D69" s="40"/>
      <c r="E69" s="40"/>
      <c r="F69" s="40"/>
      <c r="G69" s="40"/>
      <c r="H69" s="40"/>
      <c r="I69" s="40"/>
      <c r="J69" s="40"/>
      <c r="K69" s="40"/>
      <c r="L69" s="40"/>
      <c r="M69" s="40"/>
      <c r="N69" s="40"/>
    </row>
    <row r="70" spans="1:14" ht="31.5" x14ac:dyDescent="0.25">
      <c r="A70" s="34" t="s">
        <v>80</v>
      </c>
      <c r="B70" s="16">
        <v>0</v>
      </c>
      <c r="C70" s="16">
        <v>0</v>
      </c>
      <c r="D70" s="16">
        <v>0</v>
      </c>
      <c r="E70" s="16">
        <v>0</v>
      </c>
      <c r="F70" s="20">
        <v>4960300</v>
      </c>
      <c r="G70" s="20">
        <v>4565100</v>
      </c>
      <c r="H70" s="16">
        <f t="shared" si="0"/>
        <v>-395200</v>
      </c>
      <c r="I70" s="16">
        <v>4565100</v>
      </c>
      <c r="J70" s="16">
        <f t="shared" si="6"/>
        <v>0</v>
      </c>
      <c r="K70" s="16">
        <v>4565016.1399999997</v>
      </c>
      <c r="L70" s="16">
        <f t="shared" si="7"/>
        <v>-83.860000000335276</v>
      </c>
      <c r="M70" s="16">
        <v>4565016.1399999997</v>
      </c>
      <c r="N70" s="38">
        <f>B70+C70-D70+E70+K70-M70</f>
        <v>0</v>
      </c>
    </row>
    <row r="71" spans="1:14" ht="94.5" x14ac:dyDescent="0.25">
      <c r="A71" s="34" t="s">
        <v>81</v>
      </c>
      <c r="B71" s="16">
        <v>9800.0400000000009</v>
      </c>
      <c r="C71" s="16">
        <v>0</v>
      </c>
      <c r="D71" s="16">
        <v>9800.0400000000009</v>
      </c>
      <c r="E71" s="16">
        <v>0</v>
      </c>
      <c r="F71" s="20">
        <v>0</v>
      </c>
      <c r="G71" s="20">
        <v>336000</v>
      </c>
      <c r="H71" s="16">
        <f t="shared" si="0"/>
        <v>336000</v>
      </c>
      <c r="I71" s="16">
        <v>336000</v>
      </c>
      <c r="J71" s="16">
        <f t="shared" si="6"/>
        <v>0</v>
      </c>
      <c r="K71" s="16">
        <v>336000</v>
      </c>
      <c r="L71" s="16">
        <f t="shared" si="7"/>
        <v>0</v>
      </c>
      <c r="M71" s="16">
        <v>336000</v>
      </c>
      <c r="N71" s="38">
        <f t="shared" ref="N71:N80" si="9">B71+C71-D71+E71+K71-M71</f>
        <v>0</v>
      </c>
    </row>
    <row r="72" spans="1:14" ht="69" customHeight="1" x14ac:dyDescent="0.25">
      <c r="A72" s="34" t="s">
        <v>50</v>
      </c>
      <c r="B72" s="16">
        <v>0</v>
      </c>
      <c r="C72" s="16">
        <v>0</v>
      </c>
      <c r="D72" s="16">
        <v>0</v>
      </c>
      <c r="E72" s="16">
        <v>0</v>
      </c>
      <c r="F72" s="20">
        <v>90150500</v>
      </c>
      <c r="G72" s="20">
        <v>91131500</v>
      </c>
      <c r="H72" s="16">
        <f t="shared" si="0"/>
        <v>981000</v>
      </c>
      <c r="I72" s="16">
        <v>91131500</v>
      </c>
      <c r="J72" s="16">
        <f t="shared" si="6"/>
        <v>0</v>
      </c>
      <c r="K72" s="16">
        <v>90307729.450000003</v>
      </c>
      <c r="L72" s="16">
        <f t="shared" si="7"/>
        <v>-823770.54999999702</v>
      </c>
      <c r="M72" s="16">
        <v>90307729.450000003</v>
      </c>
      <c r="N72" s="38">
        <f t="shared" si="9"/>
        <v>0</v>
      </c>
    </row>
    <row r="73" spans="1:14" s="3" customFormat="1" ht="47.25" x14ac:dyDescent="0.25">
      <c r="A73" s="34" t="s">
        <v>82</v>
      </c>
      <c r="B73" s="16">
        <v>0</v>
      </c>
      <c r="C73" s="16">
        <v>0</v>
      </c>
      <c r="D73" s="16">
        <v>0</v>
      </c>
      <c r="E73" s="16">
        <v>0</v>
      </c>
      <c r="F73" s="20">
        <v>0</v>
      </c>
      <c r="G73" s="16">
        <f>707440+1489986+1600000</f>
        <v>3797426</v>
      </c>
      <c r="H73" s="16">
        <f t="shared" si="0"/>
        <v>3797426</v>
      </c>
      <c r="I73" s="16">
        <v>3797426</v>
      </c>
      <c r="J73" s="16">
        <f t="shared" si="6"/>
        <v>0</v>
      </c>
      <c r="K73" s="16">
        <v>3797426</v>
      </c>
      <c r="L73" s="16">
        <f t="shared" si="7"/>
        <v>0</v>
      </c>
      <c r="M73" s="16">
        <f>1489986+1600000+707440</f>
        <v>3797426</v>
      </c>
      <c r="N73" s="38">
        <f t="shared" si="9"/>
        <v>0</v>
      </c>
    </row>
    <row r="74" spans="1:14" x14ac:dyDescent="0.25">
      <c r="A74" s="33" t="s">
        <v>18</v>
      </c>
      <c r="B74" s="17">
        <f t="shared" ref="B74:F74" si="10">SUM(B70:B73)</f>
        <v>9800.0400000000009</v>
      </c>
      <c r="C74" s="17">
        <f t="shared" si="10"/>
        <v>0</v>
      </c>
      <c r="D74" s="17">
        <f t="shared" si="10"/>
        <v>9800.0400000000009</v>
      </c>
      <c r="E74" s="17">
        <f t="shared" si="10"/>
        <v>0</v>
      </c>
      <c r="F74" s="17">
        <f t="shared" si="10"/>
        <v>95110800</v>
      </c>
      <c r="G74" s="17">
        <f>SUM(G70:G73)</f>
        <v>99830026</v>
      </c>
      <c r="H74" s="17">
        <f t="shared" si="0"/>
        <v>4719226</v>
      </c>
      <c r="I74" s="17">
        <f>SUM(I70:I73)</f>
        <v>99830026</v>
      </c>
      <c r="J74" s="17">
        <f t="shared" si="6"/>
        <v>0</v>
      </c>
      <c r="K74" s="17">
        <f>SUM(K70:K73)</f>
        <v>99006171.590000004</v>
      </c>
      <c r="L74" s="17">
        <f t="shared" si="7"/>
        <v>-823854.40999999642</v>
      </c>
      <c r="M74" s="17">
        <f>SUM(M70:M73)</f>
        <v>99006171.590000004</v>
      </c>
      <c r="N74" s="21">
        <f t="shared" si="9"/>
        <v>0</v>
      </c>
    </row>
    <row r="75" spans="1:14" x14ac:dyDescent="0.25">
      <c r="A75" s="40" t="s">
        <v>3</v>
      </c>
      <c r="B75" s="40"/>
      <c r="C75" s="40"/>
      <c r="D75" s="40"/>
      <c r="E75" s="40"/>
      <c r="F75" s="40"/>
      <c r="G75" s="40"/>
      <c r="H75" s="40"/>
      <c r="I75" s="40"/>
      <c r="J75" s="40"/>
      <c r="K75" s="40"/>
      <c r="L75" s="40"/>
      <c r="M75" s="40"/>
      <c r="N75" s="40"/>
    </row>
    <row r="76" spans="1:14" ht="63" x14ac:dyDescent="0.25">
      <c r="A76" s="30" t="s">
        <v>57</v>
      </c>
      <c r="B76" s="16">
        <v>0</v>
      </c>
      <c r="C76" s="16">
        <v>0</v>
      </c>
      <c r="D76" s="16">
        <v>0</v>
      </c>
      <c r="E76" s="16">
        <v>0</v>
      </c>
      <c r="F76" s="16">
        <v>200122000</v>
      </c>
      <c r="G76" s="16">
        <v>268644200</v>
      </c>
      <c r="H76" s="16">
        <f t="shared" si="0"/>
        <v>68522200</v>
      </c>
      <c r="I76" s="16">
        <v>268644200</v>
      </c>
      <c r="J76" s="16">
        <f t="shared" si="6"/>
        <v>0</v>
      </c>
      <c r="K76" s="16">
        <v>268644200</v>
      </c>
      <c r="L76" s="16">
        <f t="shared" si="7"/>
        <v>0</v>
      </c>
      <c r="M76" s="16">
        <v>268644200</v>
      </c>
      <c r="N76" s="38">
        <f t="shared" si="9"/>
        <v>0</v>
      </c>
    </row>
    <row r="77" spans="1:14" ht="63" x14ac:dyDescent="0.25">
      <c r="A77" s="32" t="s">
        <v>83</v>
      </c>
      <c r="B77" s="16">
        <v>0</v>
      </c>
      <c r="C77" s="16">
        <v>0</v>
      </c>
      <c r="D77" s="16">
        <v>0</v>
      </c>
      <c r="E77" s="16">
        <v>0</v>
      </c>
      <c r="F77" s="16">
        <v>0</v>
      </c>
      <c r="G77" s="15">
        <v>6162600</v>
      </c>
      <c r="H77" s="16">
        <f t="shared" si="0"/>
        <v>6162600</v>
      </c>
      <c r="I77" s="15">
        <v>6162600</v>
      </c>
      <c r="J77" s="16">
        <f t="shared" si="6"/>
        <v>0</v>
      </c>
      <c r="K77" s="15">
        <v>6162600</v>
      </c>
      <c r="L77" s="16">
        <f t="shared" si="7"/>
        <v>0</v>
      </c>
      <c r="M77" s="16">
        <v>6162600</v>
      </c>
      <c r="N77" s="38">
        <f t="shared" si="9"/>
        <v>0</v>
      </c>
    </row>
    <row r="78" spans="1:14" ht="47.25" x14ac:dyDescent="0.25">
      <c r="A78" s="32" t="s">
        <v>84</v>
      </c>
      <c r="B78" s="16">
        <v>0</v>
      </c>
      <c r="C78" s="16">
        <v>0</v>
      </c>
      <c r="D78" s="16">
        <v>0</v>
      </c>
      <c r="E78" s="16">
        <v>0</v>
      </c>
      <c r="F78" s="16">
        <v>0</v>
      </c>
      <c r="G78" s="15">
        <v>10271600</v>
      </c>
      <c r="H78" s="16">
        <f t="shared" si="0"/>
        <v>10271600</v>
      </c>
      <c r="I78" s="15">
        <v>10271600</v>
      </c>
      <c r="J78" s="16">
        <f t="shared" si="6"/>
        <v>0</v>
      </c>
      <c r="K78" s="15">
        <v>10271600</v>
      </c>
      <c r="L78" s="16">
        <f t="shared" si="7"/>
        <v>0</v>
      </c>
      <c r="M78" s="16">
        <v>10271600</v>
      </c>
      <c r="N78" s="38">
        <f t="shared" si="9"/>
        <v>0</v>
      </c>
    </row>
    <row r="79" spans="1:14" s="11" customFormat="1" ht="63" x14ac:dyDescent="0.25">
      <c r="A79" s="32" t="s">
        <v>85</v>
      </c>
      <c r="B79" s="16">
        <v>0</v>
      </c>
      <c r="C79" s="16">
        <v>0</v>
      </c>
      <c r="D79" s="16">
        <v>0</v>
      </c>
      <c r="E79" s="16">
        <v>0</v>
      </c>
      <c r="F79" s="16">
        <v>0</v>
      </c>
      <c r="G79" s="15">
        <v>5394000</v>
      </c>
      <c r="H79" s="16">
        <f t="shared" si="0"/>
        <v>5394000</v>
      </c>
      <c r="I79" s="15">
        <v>5394000</v>
      </c>
      <c r="J79" s="16">
        <f t="shared" si="6"/>
        <v>0</v>
      </c>
      <c r="K79" s="16">
        <v>5394000</v>
      </c>
      <c r="L79" s="16">
        <f t="shared" si="7"/>
        <v>0</v>
      </c>
      <c r="M79" s="16">
        <v>5394000</v>
      </c>
      <c r="N79" s="38">
        <f t="shared" si="9"/>
        <v>0</v>
      </c>
    </row>
    <row r="80" spans="1:14" s="3" customFormat="1" x14ac:dyDescent="0.25">
      <c r="A80" s="35" t="s">
        <v>19</v>
      </c>
      <c r="B80" s="17">
        <f>SUM(B76)</f>
        <v>0</v>
      </c>
      <c r="C80" s="17">
        <f>SUM(C76)</f>
        <v>0</v>
      </c>
      <c r="D80" s="17">
        <f>SUM(D76)</f>
        <v>0</v>
      </c>
      <c r="E80" s="17">
        <f>SUM(E76)</f>
        <v>0</v>
      </c>
      <c r="F80" s="17">
        <f>SUM(F76)</f>
        <v>200122000</v>
      </c>
      <c r="G80" s="17">
        <f>SUM(G76:G79)</f>
        <v>290472400</v>
      </c>
      <c r="H80" s="17">
        <f t="shared" si="0"/>
        <v>90350400</v>
      </c>
      <c r="I80" s="17">
        <f>SUM(I76:I79)</f>
        <v>290472400</v>
      </c>
      <c r="J80" s="17">
        <f t="shared" si="6"/>
        <v>0</v>
      </c>
      <c r="K80" s="17">
        <f>SUM(K76:K79)</f>
        <v>290472400</v>
      </c>
      <c r="L80" s="17">
        <f t="shared" si="7"/>
        <v>0</v>
      </c>
      <c r="M80" s="17">
        <f>SUM(M76:M79)</f>
        <v>290472400</v>
      </c>
      <c r="N80" s="21">
        <f t="shared" si="9"/>
        <v>0</v>
      </c>
    </row>
    <row r="81" spans="1:14" x14ac:dyDescent="0.25">
      <c r="A81" s="33" t="s">
        <v>20</v>
      </c>
      <c r="B81" s="18">
        <f t="shared" ref="B81:G81" si="11">B80+B74+B68+B31</f>
        <v>20683262.120000001</v>
      </c>
      <c r="C81" s="18">
        <f t="shared" si="11"/>
        <v>324813.74999999994</v>
      </c>
      <c r="D81" s="18">
        <f t="shared" si="11"/>
        <v>21008075.870000001</v>
      </c>
      <c r="E81" s="18">
        <f t="shared" si="11"/>
        <v>0</v>
      </c>
      <c r="F81" s="18">
        <f t="shared" si="11"/>
        <v>9948863500</v>
      </c>
      <c r="G81" s="18">
        <f t="shared" si="11"/>
        <v>11113038862.990002</v>
      </c>
      <c r="H81" s="17">
        <f t="shared" si="0"/>
        <v>1164175362.9900017</v>
      </c>
      <c r="I81" s="18">
        <f>I80+I74+I68+I31</f>
        <v>11009453462.990002</v>
      </c>
      <c r="J81" s="17">
        <f t="shared" si="6"/>
        <v>-103585400</v>
      </c>
      <c r="K81" s="18">
        <f>K80+K74+K68+K31</f>
        <v>10823989596.32</v>
      </c>
      <c r="L81" s="17">
        <f t="shared" si="7"/>
        <v>-185463866.67000198</v>
      </c>
      <c r="M81" s="18">
        <f>M80+M74+M68+M31</f>
        <v>10823989596.32</v>
      </c>
      <c r="N81" s="21">
        <f>B81+C81-D81+E81+K81-M81</f>
        <v>0</v>
      </c>
    </row>
    <row r="82" spans="1:14" x14ac:dyDescent="0.25">
      <c r="A82" s="36"/>
      <c r="B82" s="23"/>
      <c r="C82" s="23"/>
      <c r="D82" s="23"/>
      <c r="E82" s="23"/>
      <c r="F82" s="23"/>
      <c r="G82" s="23">
        <v>11113038862.99</v>
      </c>
      <c r="H82" s="24"/>
      <c r="I82" s="23">
        <v>11009453462.99</v>
      </c>
      <c r="J82" s="24"/>
      <c r="K82" s="23">
        <v>10823989596.32</v>
      </c>
      <c r="L82" s="24"/>
      <c r="M82" s="23"/>
      <c r="N82" s="39"/>
    </row>
    <row r="83" spans="1:14" x14ac:dyDescent="0.25">
      <c r="A83" s="36"/>
      <c r="B83" s="23"/>
      <c r="C83" s="23"/>
      <c r="D83" s="23">
        <v>-21008075.870000001</v>
      </c>
      <c r="E83" s="23"/>
      <c r="F83" s="23"/>
      <c r="G83" s="23">
        <f>G82-G81</f>
        <v>0</v>
      </c>
      <c r="H83" s="24"/>
      <c r="I83" s="23">
        <f>I82-I81</f>
        <v>0</v>
      </c>
      <c r="J83" s="24"/>
      <c r="K83" s="23">
        <f>K82-K81</f>
        <v>0</v>
      </c>
      <c r="L83" s="24"/>
      <c r="M83" s="23"/>
      <c r="N83" s="39"/>
    </row>
    <row r="84" spans="1:14" x14ac:dyDescent="0.25">
      <c r="A84" s="36"/>
      <c r="B84" s="23"/>
      <c r="C84" s="23"/>
      <c r="D84" s="23"/>
      <c r="E84" s="23"/>
      <c r="F84" s="23"/>
      <c r="G84" s="23"/>
      <c r="H84" s="24"/>
      <c r="I84" s="23"/>
      <c r="J84" s="24"/>
      <c r="K84" s="23"/>
      <c r="L84" s="24"/>
      <c r="M84" s="23"/>
      <c r="N84" s="39"/>
    </row>
  </sheetData>
  <autoFilter ref="A8:N83"/>
  <mergeCells count="21">
    <mergeCell ref="J34:J35"/>
    <mergeCell ref="K34:K35"/>
    <mergeCell ref="L34:L35"/>
    <mergeCell ref="M34:M35"/>
    <mergeCell ref="N34:N35"/>
    <mergeCell ref="A75:N75"/>
    <mergeCell ref="A9:N9"/>
    <mergeCell ref="A32:N32"/>
    <mergeCell ref="A69:N69"/>
    <mergeCell ref="L1:M1"/>
    <mergeCell ref="L2:M2"/>
    <mergeCell ref="A5:M5"/>
    <mergeCell ref="A34:A35"/>
    <mergeCell ref="B34:B35"/>
    <mergeCell ref="C34:C35"/>
    <mergeCell ref="D34:D35"/>
    <mergeCell ref="E34:E35"/>
    <mergeCell ref="F34:F35"/>
    <mergeCell ref="G34:G35"/>
    <mergeCell ref="H34:H35"/>
    <mergeCell ref="I34:I35"/>
  </mergeCells>
  <pageMargins left="0.39370078740157483" right="0.39370078740157483" top="0.78740157480314965" bottom="0.39370078740157483" header="0.39370078740157483" footer="0"/>
  <pageSetup paperSize="9" scale="50" fitToHeight="3"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2024-04-16T09:58:37Z</cp:lastPrinted>
  <dcterms:created xsi:type="dcterms:W3CDTF">2013-11-25T11:49:42Z</dcterms:created>
  <dcterms:modified xsi:type="dcterms:W3CDTF">2024-04-16T13:12:24Z</dcterms:modified>
</cp:coreProperties>
</file>