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у\2023\Отчёты 2023\Отчёт за 9 месяцев 2023 года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Лист2!$A$5:$N$74</definedName>
    <definedName name="_xlnm.Print_Titles" localSheetId="0">Лист2!$4:$5</definedName>
    <definedName name="_xlnm.Print_Area" localSheetId="0">Лист2!$A$1:$N$74</definedName>
  </definedNames>
  <calcPr calcId="152511"/>
</workbook>
</file>

<file path=xl/calcChain.xml><?xml version="1.0" encoding="utf-8"?>
<calcChain xmlns="http://schemas.openxmlformats.org/spreadsheetml/2006/main">
  <c r="M59" i="2" l="1"/>
  <c r="M12" i="2"/>
  <c r="K35" i="2"/>
  <c r="M73" i="2"/>
  <c r="M33" i="2"/>
  <c r="M52" i="2"/>
  <c r="M30" i="2"/>
  <c r="M66" i="2" l="1"/>
  <c r="M44" i="2"/>
  <c r="M48" i="2"/>
  <c r="M40" i="2"/>
  <c r="M36" i="2"/>
  <c r="M55" i="2"/>
  <c r="K55" i="2"/>
  <c r="M35" i="2"/>
  <c r="G51" i="2" l="1"/>
  <c r="I60" i="2"/>
  <c r="K30" i="2"/>
  <c r="I30" i="2"/>
  <c r="K36" i="2"/>
  <c r="I36" i="2"/>
  <c r="K33" i="2"/>
  <c r="K44" i="2"/>
  <c r="I44" i="2"/>
  <c r="K59" i="2"/>
  <c r="I59" i="2"/>
  <c r="K52" i="2"/>
  <c r="I52" i="2"/>
  <c r="K40" i="2"/>
  <c r="I55" i="2"/>
  <c r="K48" i="2"/>
  <c r="K12" i="2"/>
  <c r="I12" i="2"/>
  <c r="C61" i="2"/>
  <c r="G66" i="2"/>
  <c r="K66" i="2"/>
  <c r="I66" i="2"/>
  <c r="I67" i="2" s="1"/>
  <c r="L70" i="2"/>
  <c r="N70" i="2"/>
  <c r="L71" i="2"/>
  <c r="N71" i="2"/>
  <c r="L72" i="2"/>
  <c r="N72" i="2"/>
  <c r="J70" i="2"/>
  <c r="J71" i="2"/>
  <c r="J72" i="2"/>
  <c r="H72" i="2"/>
  <c r="H71" i="2"/>
  <c r="H70" i="2"/>
  <c r="G73" i="2"/>
  <c r="K73" i="2"/>
  <c r="I73" i="2"/>
  <c r="N10" i="2" l="1"/>
  <c r="N11" i="2"/>
  <c r="N13" i="2"/>
  <c r="N8" i="2"/>
  <c r="N9" i="2"/>
  <c r="N7" i="2"/>
  <c r="I48" i="2" l="1"/>
  <c r="N54" i="2"/>
  <c r="N49" i="2"/>
  <c r="L49" i="2"/>
  <c r="J49" i="2"/>
  <c r="H49" i="2"/>
  <c r="I54" i="2"/>
  <c r="L54" i="2" s="1"/>
  <c r="I40" i="2"/>
  <c r="N12" i="2"/>
  <c r="G24" i="2"/>
  <c r="G8" i="2"/>
  <c r="G17" i="2"/>
  <c r="G19" i="2"/>
  <c r="G12" i="2"/>
  <c r="H12" i="2" s="1"/>
  <c r="G9" i="2"/>
  <c r="G13" i="2"/>
  <c r="G52" i="2"/>
  <c r="H52" i="2" s="1"/>
  <c r="K61" i="2" l="1"/>
  <c r="G54" i="2"/>
  <c r="H54" i="2" s="1"/>
  <c r="G60" i="2"/>
  <c r="J54" i="2" l="1"/>
  <c r="G34" i="2"/>
  <c r="G30" i="2"/>
  <c r="G63" i="2"/>
  <c r="G61" i="2" l="1"/>
  <c r="N69" i="2" l="1"/>
  <c r="N64" i="2"/>
  <c r="N65" i="2"/>
  <c r="N66" i="2"/>
  <c r="N63" i="2"/>
  <c r="N31" i="2"/>
  <c r="N32" i="2"/>
  <c r="N33" i="2"/>
  <c r="N34" i="2"/>
  <c r="N35" i="2"/>
  <c r="N37" i="2"/>
  <c r="N38" i="2"/>
  <c r="N39" i="2"/>
  <c r="N40" i="2"/>
  <c r="N41" i="2"/>
  <c r="N43" i="2"/>
  <c r="N44" i="2"/>
  <c r="N45" i="2"/>
  <c r="N46" i="2"/>
  <c r="N47" i="2"/>
  <c r="N48" i="2"/>
  <c r="N50" i="2"/>
  <c r="N51" i="2"/>
  <c r="N52" i="2"/>
  <c r="N53" i="2"/>
  <c r="N56" i="2"/>
  <c r="N57" i="2"/>
  <c r="N58" i="2"/>
  <c r="N59" i="2"/>
  <c r="N60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L69" i="2"/>
  <c r="L64" i="2"/>
  <c r="L65" i="2"/>
  <c r="L63" i="2"/>
  <c r="L31" i="2"/>
  <c r="L32" i="2"/>
  <c r="L34" i="2"/>
  <c r="L37" i="2"/>
  <c r="L38" i="2"/>
  <c r="L39" i="2"/>
  <c r="L41" i="2"/>
  <c r="L43" i="2"/>
  <c r="L45" i="2"/>
  <c r="L46" i="2"/>
  <c r="L47" i="2"/>
  <c r="L50" i="2"/>
  <c r="L51" i="2"/>
  <c r="L53" i="2"/>
  <c r="L56" i="2"/>
  <c r="L57" i="2"/>
  <c r="L58" i="2"/>
  <c r="L60" i="2"/>
  <c r="L8" i="2"/>
  <c r="L9" i="2"/>
  <c r="L10" i="2"/>
  <c r="L1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7" i="2"/>
  <c r="J69" i="2"/>
  <c r="J64" i="2"/>
  <c r="J65" i="2"/>
  <c r="J63" i="2"/>
  <c r="J31" i="2"/>
  <c r="J32" i="2"/>
  <c r="J34" i="2"/>
  <c r="J37" i="2"/>
  <c r="J38" i="2"/>
  <c r="J39" i="2"/>
  <c r="J41" i="2"/>
  <c r="J43" i="2"/>
  <c r="J45" i="2"/>
  <c r="J46" i="2"/>
  <c r="J47" i="2"/>
  <c r="J50" i="2"/>
  <c r="J51" i="2"/>
  <c r="J53" i="2"/>
  <c r="J56" i="2"/>
  <c r="J57" i="2"/>
  <c r="J58" i="2"/>
  <c r="J60" i="2"/>
  <c r="J8" i="2"/>
  <c r="J9" i="2"/>
  <c r="J10" i="2"/>
  <c r="J1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7" i="2"/>
  <c r="H69" i="2"/>
  <c r="H64" i="2"/>
  <c r="H65" i="2"/>
  <c r="H66" i="2"/>
  <c r="H63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50" i="2"/>
  <c r="H51" i="2"/>
  <c r="H53" i="2"/>
  <c r="H55" i="2"/>
  <c r="H56" i="2"/>
  <c r="H57" i="2"/>
  <c r="H58" i="2"/>
  <c r="H59" i="2"/>
  <c r="H60" i="2"/>
  <c r="H30" i="2"/>
  <c r="H8" i="2"/>
  <c r="H9" i="2"/>
  <c r="H10" i="2"/>
  <c r="H11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7" i="2"/>
  <c r="L66" i="2"/>
  <c r="J66" i="2" l="1"/>
  <c r="M67" i="2"/>
  <c r="D14" i="2"/>
  <c r="N14" i="2" s="1"/>
  <c r="E28" i="2"/>
  <c r="E61" i="2"/>
  <c r="E67" i="2"/>
  <c r="E73" i="2"/>
  <c r="C73" i="2"/>
  <c r="D73" i="2"/>
  <c r="B73" i="2"/>
  <c r="C67" i="2"/>
  <c r="D67" i="2"/>
  <c r="B67" i="2"/>
  <c r="D61" i="2"/>
  <c r="B61" i="2"/>
  <c r="C28" i="2"/>
  <c r="B28" i="2"/>
  <c r="M61" i="2" l="1"/>
  <c r="N55" i="2"/>
  <c r="D28" i="2"/>
  <c r="D74" i="2" s="1"/>
  <c r="E74" i="2"/>
  <c r="C74" i="2"/>
  <c r="B74" i="2"/>
  <c r="K67" i="2" l="1"/>
  <c r="N67" i="2" s="1"/>
  <c r="G67" i="2"/>
  <c r="F67" i="2"/>
  <c r="F61" i="2"/>
  <c r="J36" i="2"/>
  <c r="I35" i="2"/>
  <c r="I33" i="2"/>
  <c r="J30" i="2"/>
  <c r="I61" i="2" l="1"/>
  <c r="J55" i="2"/>
  <c r="L55" i="2"/>
  <c r="L33" i="2"/>
  <c r="J33" i="2"/>
  <c r="L44" i="2"/>
  <c r="J44" i="2"/>
  <c r="L59" i="2"/>
  <c r="J59" i="2"/>
  <c r="L40" i="2"/>
  <c r="J40" i="2"/>
  <c r="L48" i="2"/>
  <c r="J48" i="2"/>
  <c r="L35" i="2"/>
  <c r="J35" i="2"/>
  <c r="I28" i="2"/>
  <c r="J12" i="2"/>
  <c r="L52" i="2"/>
  <c r="J52" i="2"/>
  <c r="H61" i="2"/>
  <c r="H67" i="2"/>
  <c r="L67" i="2"/>
  <c r="J61" i="2" l="1"/>
  <c r="J67" i="2"/>
  <c r="I74" i="2"/>
  <c r="M28" i="2" l="1"/>
  <c r="G28" i="2"/>
  <c r="J28" i="2" l="1"/>
  <c r="N36" i="2"/>
  <c r="L36" i="2"/>
  <c r="L12" i="2"/>
  <c r="N30" i="2"/>
  <c r="L30" i="2"/>
  <c r="J73" i="2"/>
  <c r="N73" i="2"/>
  <c r="L73" i="2"/>
  <c r="K28" i="2"/>
  <c r="G74" i="2"/>
  <c r="M74" i="2"/>
  <c r="F73" i="2"/>
  <c r="H73" i="2" s="1"/>
  <c r="F28" i="2"/>
  <c r="H28" i="2" s="1"/>
  <c r="L28" i="2" l="1"/>
  <c r="N28" i="2"/>
  <c r="L61" i="2"/>
  <c r="N61" i="2"/>
  <c r="J74" i="2"/>
  <c r="K74" i="2"/>
  <c r="N74" i="2" s="1"/>
  <c r="F74" i="2"/>
  <c r="H74" i="2" s="1"/>
  <c r="L74" i="2" l="1"/>
</calcChain>
</file>

<file path=xl/comments1.xml><?xml version="1.0" encoding="utf-8"?>
<comments xmlns="http://schemas.openxmlformats.org/spreadsheetml/2006/main">
  <authors>
    <author>User</author>
  </authors>
  <commentList>
    <comment ref="K3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не идут расходы между бюджетами в отчеты дыкой и снигиревой</t>
        </r>
      </text>
    </comment>
  </commentList>
</comments>
</file>

<file path=xl/sharedStrings.xml><?xml version="1.0" encoding="utf-8"?>
<sst xmlns="http://schemas.openxmlformats.org/spreadsheetml/2006/main" count="85" uniqueCount="85">
  <si>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</si>
  <si>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</si>
  <si>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</si>
  <si>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</si>
  <si>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</si>
  <si>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</si>
  <si>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</si>
  <si>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</si>
  <si>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</si>
  <si>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</si>
  <si>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</si>
  <si>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</si>
  <si>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</si>
  <si>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</si>
  <si>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</si>
  <si>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</si>
  <si>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</si>
  <si>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</si>
  <si>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</si>
  <si>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</si>
  <si>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</si>
  <si>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</si>
  <si>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</si>
  <si>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</si>
  <si>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</si>
  <si>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</si>
  <si>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</si>
  <si>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</si>
  <si>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Изменение плановых назначений               (гр.7-гр.6)</t>
  </si>
  <si>
    <t>Фактически поступило в бюджет</t>
  </si>
  <si>
    <t>Израсходовано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</si>
  <si>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</si>
  <si>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</si>
  <si>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</si>
  <si>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</si>
  <si>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</si>
  <si>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</si>
  <si>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мероприятий по обеспечению жильем молодых семей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</si>
  <si>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</si>
  <si>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</si>
  <si>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</si>
  <si>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</si>
  <si>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</si>
  <si>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государственную поддержку отрасли культуры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</si>
  <si>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</si>
  <si>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</si>
  <si>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</si>
  <si>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</si>
  <si>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создание образовательных организаций, организаций для отдыха и оздоровления детей</t>
  </si>
  <si>
    <t>Субсидии на строительство и реконструкцию (модернизацию) объектов питьевого водоснабжения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</si>
  <si>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</si>
  <si>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</si>
  <si>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</si>
  <si>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</si>
  <si>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реализацию мероприятий по строительству и реконструкции (модернизации) объектов питьевого водоснабжения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</si>
  <si>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</si>
  <si>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Остаток на 01.01.2023 г. </t>
  </si>
  <si>
    <t>Субсидии на обеспечение устойчивого сокращения непригодного для проживания жилищного фонда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</si>
  <si>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</si>
  <si>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государственную поддержку организаций, входящих в систему спортивной подготовки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</si>
  <si>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</si>
  <si>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</si>
  <si>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 xml:space="preserve">Иные межбюджетные трансферты на реализацию мероприятий содействие трудоустройству граждан 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</si>
  <si>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 и обеспечению их участия в соревнованиях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</si>
  <si>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</si>
  <si>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Фактический план на конец отчётного периода</t>
  </si>
  <si>
    <t>Иные межбюджетные трансферты на реализацию наказов избирателей депутатам Думы Ханты -Мансийского автономного округа - Югры</t>
  </si>
  <si>
    <t>Отклонение между фактическим планом и решением о бюджете                          (гр.9-гр.7)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</si>
  <si>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</si>
  <si>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</si>
  <si>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</si>
  <si>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>Не поступило      (гр.11-гр.9)</t>
  </si>
  <si>
    <t>Субвенция на осуществление деятельности по опеке и попечительству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</si>
  <si>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</si>
  <si>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</si>
  <si>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Субсидии на реализацию инициативных проектов, отобранных по результатам конкурса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</si>
  <si>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</si>
  <si>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Обеспечение мероприятий по модернизации систем коммунальной инфраструктуры</t>
  </si>
  <si>
    <t>5. Информация об использовании субвенций, субсидий и межбюджетных трансфертов за 9 месяцев 2023 года</t>
  </si>
  <si>
    <t>Дотация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</t>
  </si>
  <si>
    <t>Дотация в целях стимулирования роста налогового потенциала и качества планирования доходов в городских округах и муниципальных районах</t>
  </si>
  <si>
    <t>Дотация на поощрение достижения высоких показателей качества организации и осуществления бюджетного процесса в городских округах и муниципальных районах</t>
  </si>
  <si>
    <t>Остаток на 01.10.2023 г.  (гр.2+гр.3-гр.4+гр.5+гр.11-гр.13)</t>
  </si>
  <si>
    <t>Субсидии на поддержку малого и среднего предпринимательства</t>
  </si>
  <si>
    <t>Уточнённый    план по решению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</si>
</sst>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19" fillId="0" borderId="0" applyFont="0" applyFill="0" applyBorder="0" applyAlignment="0" applyProtection="0"/>
  </cellStyleXfs>
  <cellXfs count="37">
    <xf numFmtId="0" fontId="0" fillId="0" borderId="0" xfId="0"/>
    <xf numFmtId="4" fontId="20" fillId="0" borderId="0" xfId="37" applyNumberFormat="1" applyFont="1" applyFill="1" applyBorder="1" applyAlignment="1">
      <alignment horizontal="left" vertical="distributed" wrapText="1"/>
    </xf>
    <xf numFmtId="4" fontId="20" fillId="0" borderId="0" xfId="0" applyNumberFormat="1" applyFont="1" applyFill="1" applyAlignment="1">
      <alignment horizontal="center" vertical="center"/>
    </xf>
    <xf numFmtId="4" fontId="20" fillId="0" borderId="0" xfId="37" applyNumberFormat="1" applyFont="1" applyFill="1" applyBorder="1" applyAlignment="1">
      <alignment horizontal="center" vertical="center"/>
    </xf>
    <xf numFmtId="43" fontId="21" fillId="0" borderId="0" xfId="44" applyFont="1" applyFill="1" applyBorder="1"/>
    <xf numFmtId="4" fontId="20" fillId="0" borderId="0" xfId="0" applyNumberFormat="1" applyFont="1" applyFill="1" applyBorder="1"/>
    <xf numFmtId="4" fontId="20" fillId="0" borderId="0" xfId="37" applyNumberFormat="1" applyFont="1" applyFill="1" applyBorder="1" applyAlignment="1">
      <alignment horizontal="center" vertical="center" wrapText="1"/>
    </xf>
    <xf numFmtId="4" fontId="22" fillId="0" borderId="10" xfId="37" applyNumberFormat="1" applyFont="1" applyFill="1" applyBorder="1" applyAlignment="1">
      <alignment horizontal="center" vertical="distributed" wrapText="1"/>
    </xf>
    <xf numFmtId="4" fontId="22" fillId="0" borderId="10" xfId="37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3" fontId="20" fillId="0" borderId="10" xfId="37" applyNumberFormat="1" applyFont="1" applyFill="1" applyBorder="1" applyAlignment="1">
      <alignment horizontal="center" vertical="distributed" wrapText="1"/>
    </xf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wrapText="1"/>
    </xf>
    <xf numFmtId="4" fontId="22" fillId="0" borderId="10" xfId="37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4" fontId="20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43" fontId="20" fillId="0" borderId="10" xfId="44" applyFont="1" applyFill="1" applyBorder="1"/>
    <xf numFmtId="4" fontId="20" fillId="0" borderId="10" xfId="37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distributed" wrapText="1"/>
    </xf>
    <xf numFmtId="3" fontId="22" fillId="0" borderId="10" xfId="37" applyNumberFormat="1" applyFont="1" applyFill="1" applyBorder="1" applyAlignment="1">
      <alignment horizontal="center" vertical="center" wrapText="1"/>
    </xf>
    <xf numFmtId="4" fontId="22" fillId="0" borderId="10" xfId="37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5"/>
  <sheetViews>
    <sheetView tabSelected="1" zoomScale="90" zoomScaleNormal="90" zoomScaleSheetLayoutView="90" workbookViewId="0">
      <pane ySplit="5" topLeftCell="A18" activePane="bottomLeft" state="frozen"/>
      <selection pane="bottomLeft" activeCell="H21" sqref="H21"/>
    </sheetView>
  </sheetViews>
  <sheetFormatPr defaultRowHeight="15.75" x14ac:dyDescent="0.25"/>
  <cols>
    <col min="1" max="1" width="53.5703125" style="33" customWidth="1"/>
    <col min="2" max="2" width="14.28515625" style="2" customWidth="1"/>
    <col min="3" max="3" width="15.7109375" style="2" customWidth="1"/>
    <col min="4" max="4" width="16.5703125" style="2" customWidth="1"/>
    <col min="5" max="5" width="15.5703125" style="2" customWidth="1"/>
    <col min="6" max="6" width="18.7109375" style="32" customWidth="1"/>
    <col min="7" max="7" width="18.85546875" style="2" customWidth="1"/>
    <col min="8" max="8" width="16.7109375" style="2" customWidth="1"/>
    <col min="9" max="9" width="18.85546875" style="2" customWidth="1"/>
    <col min="10" max="10" width="15" style="2" customWidth="1"/>
    <col min="11" max="11" width="17.28515625" style="2" customWidth="1"/>
    <col min="12" max="12" width="20" style="2" customWidth="1"/>
    <col min="13" max="13" width="17.7109375" style="2" customWidth="1"/>
    <col min="14" max="14" width="17" style="2" customWidth="1"/>
    <col min="15" max="15" width="19.7109375" style="5" customWidth="1"/>
    <col min="16" max="17" width="18.28515625" style="5" customWidth="1"/>
    <col min="18" max="18" width="15.28515625" style="5" customWidth="1"/>
    <col min="19" max="16384" width="9.140625" style="5"/>
  </cols>
  <sheetData>
    <row r="1" spans="1:14" ht="18.75" x14ac:dyDescent="0.3">
      <c r="A1" s="1"/>
      <c r="F1" s="3"/>
      <c r="G1" s="4"/>
    </row>
    <row r="2" spans="1:14" x14ac:dyDescent="0.25">
      <c r="A2" s="36" t="s">
        <v>78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x14ac:dyDescent="0.25">
      <c r="A3" s="1"/>
      <c r="F3" s="6"/>
      <c r="N3" s="2" t="s">
        <v>38</v>
      </c>
    </row>
    <row r="4" spans="1:14" s="10" customFormat="1" ht="110.25" x14ac:dyDescent="0.25">
      <c r="A4" s="7" t="s">
        <v>0</v>
      </c>
      <c r="B4" s="8" t="s">
        <v>56</v>
      </c>
      <c r="C4" s="8" t="s">
        <v>68</v>
      </c>
      <c r="D4" s="8" t="s">
        <v>69</v>
      </c>
      <c r="E4" s="8" t="s">
        <v>70</v>
      </c>
      <c r="F4" s="9" t="s">
        <v>31</v>
      </c>
      <c r="G4" s="8" t="s">
        <v>84</v>
      </c>
      <c r="H4" s="8" t="s">
        <v>28</v>
      </c>
      <c r="I4" s="8" t="s">
        <v>65</v>
      </c>
      <c r="J4" s="8" t="s">
        <v>67</v>
      </c>
      <c r="K4" s="8" t="s">
        <v>29</v>
      </c>
      <c r="L4" s="8" t="s">
        <v>71</v>
      </c>
      <c r="M4" s="8" t="s">
        <v>30</v>
      </c>
      <c r="N4" s="8" t="s">
        <v>82</v>
      </c>
    </row>
    <row r="5" spans="1:14" s="15" customFormat="1" x14ac:dyDescent="0.25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</row>
    <row r="6" spans="1:14" x14ac:dyDescent="0.25">
      <c r="A6" s="35" t="s">
        <v>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10.25" x14ac:dyDescent="0.25">
      <c r="A7" s="16" t="s">
        <v>2</v>
      </c>
      <c r="B7" s="17">
        <v>11014569</v>
      </c>
      <c r="C7" s="17">
        <v>0</v>
      </c>
      <c r="D7" s="17">
        <v>11014569</v>
      </c>
      <c r="E7" s="17">
        <v>0</v>
      </c>
      <c r="F7" s="18">
        <v>210916800</v>
      </c>
      <c r="G7" s="18">
        <v>210916800</v>
      </c>
      <c r="H7" s="17">
        <f>G7-F7</f>
        <v>0</v>
      </c>
      <c r="I7" s="17">
        <v>236916800</v>
      </c>
      <c r="J7" s="17">
        <f>I7-G7</f>
        <v>26000000</v>
      </c>
      <c r="K7" s="17">
        <v>115486258.81</v>
      </c>
      <c r="L7" s="17">
        <f>K7-I7</f>
        <v>-121430541.19</v>
      </c>
      <c r="M7" s="17">
        <v>115486258.81</v>
      </c>
      <c r="N7" s="19">
        <f>B7+C7-D7+E7+K7-M7</f>
        <v>0</v>
      </c>
    </row>
    <row r="8" spans="1:14" ht="101.25" customHeight="1" x14ac:dyDescent="0.25">
      <c r="A8" s="16" t="s">
        <v>39</v>
      </c>
      <c r="B8" s="17">
        <v>7273340.9900000002</v>
      </c>
      <c r="C8" s="17">
        <v>0</v>
      </c>
      <c r="D8" s="17">
        <v>7273340.9900000002</v>
      </c>
      <c r="E8" s="17">
        <v>0</v>
      </c>
      <c r="F8" s="18">
        <v>3660045700</v>
      </c>
      <c r="G8" s="18">
        <f>3660045700+38753714+105418386</f>
        <v>3804217800</v>
      </c>
      <c r="H8" s="17">
        <f t="shared" ref="H8:H74" si="0">G8-F8</f>
        <v>144172100</v>
      </c>
      <c r="I8" s="17">
        <v>3804217800</v>
      </c>
      <c r="J8" s="17">
        <f t="shared" ref="J8:J28" si="1">I8-G8</f>
        <v>0</v>
      </c>
      <c r="K8" s="17">
        <v>2413515508.3000002</v>
      </c>
      <c r="L8" s="17">
        <f t="shared" ref="L8:L28" si="2">K8-I8</f>
        <v>-1390702291.6999998</v>
      </c>
      <c r="M8" s="17">
        <v>2413515508.3000002</v>
      </c>
      <c r="N8" s="19">
        <f t="shared" ref="N8:N14" si="3">B8+C8-D8+E8+K8-M8</f>
        <v>0</v>
      </c>
    </row>
    <row r="9" spans="1:14" ht="72" customHeight="1" x14ac:dyDescent="0.25">
      <c r="A9" s="16" t="s">
        <v>27</v>
      </c>
      <c r="B9" s="17">
        <v>1287117.8</v>
      </c>
      <c r="C9" s="17">
        <v>0</v>
      </c>
      <c r="D9" s="17">
        <v>1287117.8</v>
      </c>
      <c r="E9" s="17">
        <v>0</v>
      </c>
      <c r="F9" s="18">
        <v>15823300</v>
      </c>
      <c r="G9" s="18">
        <f>15823300+2123100</f>
        <v>17946400</v>
      </c>
      <c r="H9" s="17">
        <f t="shared" si="0"/>
        <v>2123100</v>
      </c>
      <c r="I9" s="17">
        <v>17946400</v>
      </c>
      <c r="J9" s="17">
        <f t="shared" si="1"/>
        <v>0</v>
      </c>
      <c r="K9" s="17">
        <v>10135909.07</v>
      </c>
      <c r="L9" s="17">
        <f t="shared" si="2"/>
        <v>-7810490.9299999997</v>
      </c>
      <c r="M9" s="17">
        <v>10135909.07</v>
      </c>
      <c r="N9" s="19">
        <f t="shared" si="3"/>
        <v>0</v>
      </c>
    </row>
    <row r="10" spans="1:14" ht="83.25" customHeight="1" x14ac:dyDescent="0.25">
      <c r="A10" s="20" t="s">
        <v>6</v>
      </c>
      <c r="B10" s="17">
        <v>25240.58</v>
      </c>
      <c r="C10" s="17">
        <v>0</v>
      </c>
      <c r="D10" s="17">
        <v>25240.58</v>
      </c>
      <c r="E10" s="17">
        <v>0</v>
      </c>
      <c r="F10" s="18">
        <v>0</v>
      </c>
      <c r="G10" s="18">
        <v>0</v>
      </c>
      <c r="H10" s="17">
        <f t="shared" si="0"/>
        <v>0</v>
      </c>
      <c r="I10" s="17">
        <v>0</v>
      </c>
      <c r="J10" s="17">
        <f t="shared" si="1"/>
        <v>0</v>
      </c>
      <c r="K10" s="17">
        <v>0</v>
      </c>
      <c r="L10" s="17">
        <f t="shared" si="2"/>
        <v>0</v>
      </c>
      <c r="M10" s="17">
        <v>0</v>
      </c>
      <c r="N10" s="19">
        <f t="shared" si="3"/>
        <v>0</v>
      </c>
    </row>
    <row r="11" spans="1:14" ht="31.5" x14ac:dyDescent="0.25">
      <c r="A11" s="21" t="s">
        <v>72</v>
      </c>
      <c r="B11" s="17">
        <v>791520.35</v>
      </c>
      <c r="C11" s="17">
        <v>0</v>
      </c>
      <c r="D11" s="17">
        <v>791520.35</v>
      </c>
      <c r="E11" s="17">
        <v>0</v>
      </c>
      <c r="F11" s="18">
        <v>0</v>
      </c>
      <c r="G11" s="18">
        <v>0</v>
      </c>
      <c r="H11" s="17">
        <f t="shared" si="0"/>
        <v>0</v>
      </c>
      <c r="I11" s="17">
        <v>0</v>
      </c>
      <c r="J11" s="17">
        <f t="shared" si="1"/>
        <v>0</v>
      </c>
      <c r="K11" s="17">
        <v>0</v>
      </c>
      <c r="L11" s="17">
        <f t="shared" si="2"/>
        <v>0</v>
      </c>
      <c r="M11" s="17">
        <v>0</v>
      </c>
      <c r="N11" s="19">
        <f t="shared" si="3"/>
        <v>0</v>
      </c>
    </row>
    <row r="12" spans="1:14" ht="53.25" customHeight="1" x14ac:dyDescent="0.25">
      <c r="A12" s="16" t="s">
        <v>32</v>
      </c>
      <c r="B12" s="17">
        <v>79800.98</v>
      </c>
      <c r="C12" s="17">
        <v>0</v>
      </c>
      <c r="D12" s="17">
        <v>79800.98</v>
      </c>
      <c r="E12" s="17">
        <v>0</v>
      </c>
      <c r="F12" s="18">
        <v>11010600</v>
      </c>
      <c r="G12" s="18">
        <f>11010600+1485700</f>
        <v>12496300</v>
      </c>
      <c r="H12" s="17">
        <f>G12-F12</f>
        <v>1485700</v>
      </c>
      <c r="I12" s="17">
        <f>8578600+3917700</f>
        <v>12496300</v>
      </c>
      <c r="J12" s="17">
        <f t="shared" si="1"/>
        <v>0</v>
      </c>
      <c r="K12" s="17">
        <f>6399999.43+2489443.55</f>
        <v>8889442.9800000004</v>
      </c>
      <c r="L12" s="17">
        <f t="shared" si="2"/>
        <v>-3606857.0199999996</v>
      </c>
      <c r="M12" s="17">
        <f>6399999.43+2489443.55</f>
        <v>8889442.9800000004</v>
      </c>
      <c r="N12" s="19">
        <f t="shared" si="3"/>
        <v>0</v>
      </c>
    </row>
    <row r="13" spans="1:14" ht="147.75" customHeight="1" x14ac:dyDescent="0.25">
      <c r="A13" s="16" t="s">
        <v>33</v>
      </c>
      <c r="B13" s="17">
        <v>23992.45</v>
      </c>
      <c r="C13" s="17">
        <v>0</v>
      </c>
      <c r="D13" s="17">
        <v>23992.45</v>
      </c>
      <c r="E13" s="17">
        <v>0</v>
      </c>
      <c r="F13" s="18">
        <v>5201200</v>
      </c>
      <c r="G13" s="18">
        <f>5201200+697500</f>
        <v>5898700</v>
      </c>
      <c r="H13" s="17">
        <f t="shared" si="0"/>
        <v>697500</v>
      </c>
      <c r="I13" s="17">
        <v>5898700</v>
      </c>
      <c r="J13" s="17">
        <f t="shared" si="1"/>
        <v>0</v>
      </c>
      <c r="K13" s="17">
        <v>3956932.78</v>
      </c>
      <c r="L13" s="17">
        <f t="shared" si="2"/>
        <v>-1941767.2200000002</v>
      </c>
      <c r="M13" s="17">
        <v>3956932.78</v>
      </c>
      <c r="N13" s="19">
        <f t="shared" si="3"/>
        <v>0</v>
      </c>
    </row>
    <row r="14" spans="1:14" ht="63.75" customHeight="1" x14ac:dyDescent="0.25">
      <c r="A14" s="16" t="s">
        <v>4</v>
      </c>
      <c r="B14" s="17">
        <v>98452.63</v>
      </c>
      <c r="C14" s="17">
        <v>65</v>
      </c>
      <c r="D14" s="17">
        <f>B14+C14</f>
        <v>98517.63</v>
      </c>
      <c r="E14" s="17">
        <v>0</v>
      </c>
      <c r="F14" s="18">
        <v>85343000</v>
      </c>
      <c r="G14" s="18">
        <v>85343000</v>
      </c>
      <c r="H14" s="17">
        <f t="shared" si="0"/>
        <v>0</v>
      </c>
      <c r="I14" s="17">
        <v>72343000</v>
      </c>
      <c r="J14" s="17">
        <f t="shared" si="1"/>
        <v>-13000000</v>
      </c>
      <c r="K14" s="17">
        <v>51378385.869999997</v>
      </c>
      <c r="L14" s="17">
        <f t="shared" si="2"/>
        <v>-20964614.130000003</v>
      </c>
      <c r="M14" s="17">
        <v>51378385.869999997</v>
      </c>
      <c r="N14" s="19">
        <f t="shared" si="3"/>
        <v>0</v>
      </c>
    </row>
    <row r="15" spans="1:14" ht="78.75" x14ac:dyDescent="0.25">
      <c r="A15" s="16" t="s">
        <v>24</v>
      </c>
      <c r="B15" s="17">
        <v>299.82</v>
      </c>
      <c r="C15" s="17">
        <v>0</v>
      </c>
      <c r="D15" s="17">
        <v>299.82</v>
      </c>
      <c r="E15" s="17">
        <v>0</v>
      </c>
      <c r="F15" s="18">
        <v>795800</v>
      </c>
      <c r="G15" s="18">
        <v>795800</v>
      </c>
      <c r="H15" s="17">
        <f t="shared" si="0"/>
        <v>0</v>
      </c>
      <c r="I15" s="17">
        <v>795800</v>
      </c>
      <c r="J15" s="17">
        <f t="shared" si="1"/>
        <v>0</v>
      </c>
      <c r="K15" s="17">
        <v>795800</v>
      </c>
      <c r="L15" s="17">
        <f t="shared" si="2"/>
        <v>0</v>
      </c>
      <c r="M15" s="17">
        <v>795800</v>
      </c>
      <c r="N15" s="19">
        <f t="shared" ref="N15:N61" si="4">B15+C15-D15+E15+K15-M15</f>
        <v>0</v>
      </c>
    </row>
    <row r="16" spans="1:14" ht="39" customHeight="1" x14ac:dyDescent="0.25">
      <c r="A16" s="16" t="s">
        <v>7</v>
      </c>
      <c r="B16" s="17">
        <v>0</v>
      </c>
      <c r="C16" s="17">
        <v>0</v>
      </c>
      <c r="D16" s="17">
        <v>0</v>
      </c>
      <c r="E16" s="17">
        <v>0</v>
      </c>
      <c r="F16" s="18">
        <v>28355400</v>
      </c>
      <c r="G16" s="18">
        <v>28355400</v>
      </c>
      <c r="H16" s="17">
        <f t="shared" si="0"/>
        <v>0</v>
      </c>
      <c r="I16" s="17">
        <v>25028200</v>
      </c>
      <c r="J16" s="17">
        <f t="shared" si="1"/>
        <v>-3327200</v>
      </c>
      <c r="K16" s="17">
        <v>22467638.079999998</v>
      </c>
      <c r="L16" s="17">
        <f t="shared" si="2"/>
        <v>-2560561.9200000018</v>
      </c>
      <c r="M16" s="17">
        <v>22467638.079999998</v>
      </c>
      <c r="N16" s="19">
        <f t="shared" si="4"/>
        <v>0</v>
      </c>
    </row>
    <row r="17" spans="1:14" ht="63" x14ac:dyDescent="0.25">
      <c r="A17" s="16" t="s">
        <v>5</v>
      </c>
      <c r="B17" s="17">
        <v>61002.48</v>
      </c>
      <c r="C17" s="17">
        <v>0</v>
      </c>
      <c r="D17" s="17">
        <v>61002.48</v>
      </c>
      <c r="E17" s="17">
        <v>0</v>
      </c>
      <c r="F17" s="18">
        <v>3868700</v>
      </c>
      <c r="G17" s="18">
        <f>3868700+518900</f>
        <v>4387600</v>
      </c>
      <c r="H17" s="17">
        <f t="shared" si="0"/>
        <v>518900</v>
      </c>
      <c r="I17" s="17">
        <v>4387600</v>
      </c>
      <c r="J17" s="17">
        <f t="shared" si="1"/>
        <v>0</v>
      </c>
      <c r="K17" s="17">
        <v>2624600.4</v>
      </c>
      <c r="L17" s="17">
        <f t="shared" si="2"/>
        <v>-1762999.6</v>
      </c>
      <c r="M17" s="17">
        <v>2624600.4</v>
      </c>
      <c r="N17" s="19">
        <f t="shared" si="4"/>
        <v>0</v>
      </c>
    </row>
    <row r="18" spans="1:14" ht="23.25" customHeight="1" x14ac:dyDescent="0.25">
      <c r="A18" s="16" t="s">
        <v>40</v>
      </c>
      <c r="B18" s="17">
        <v>1025</v>
      </c>
      <c r="C18" s="17">
        <v>0</v>
      </c>
      <c r="D18" s="17">
        <v>1025</v>
      </c>
      <c r="E18" s="17">
        <v>0</v>
      </c>
      <c r="F18" s="18">
        <v>56000</v>
      </c>
      <c r="G18" s="18">
        <v>56000</v>
      </c>
      <c r="H18" s="17">
        <f t="shared" si="0"/>
        <v>0</v>
      </c>
      <c r="I18" s="17">
        <v>56000</v>
      </c>
      <c r="J18" s="17">
        <f t="shared" si="1"/>
        <v>0</v>
      </c>
      <c r="K18" s="17">
        <v>0</v>
      </c>
      <c r="L18" s="17">
        <f t="shared" si="2"/>
        <v>-56000</v>
      </c>
      <c r="M18" s="17">
        <v>0</v>
      </c>
      <c r="N18" s="19">
        <f t="shared" si="4"/>
        <v>0</v>
      </c>
    </row>
    <row r="19" spans="1:14" ht="23.25" customHeight="1" x14ac:dyDescent="0.25">
      <c r="A19" s="16" t="s">
        <v>41</v>
      </c>
      <c r="B19" s="17">
        <v>0</v>
      </c>
      <c r="C19" s="17">
        <v>0</v>
      </c>
      <c r="D19" s="17">
        <v>0</v>
      </c>
      <c r="E19" s="17">
        <v>0</v>
      </c>
      <c r="F19" s="18">
        <v>36317300</v>
      </c>
      <c r="G19" s="18">
        <f>36317300+14700</f>
        <v>36332000</v>
      </c>
      <c r="H19" s="17">
        <f t="shared" si="0"/>
        <v>14700</v>
      </c>
      <c r="I19" s="17">
        <v>36332000</v>
      </c>
      <c r="J19" s="17">
        <f t="shared" si="1"/>
        <v>0</v>
      </c>
      <c r="K19" s="17">
        <v>12858485.039999999</v>
      </c>
      <c r="L19" s="17">
        <f t="shared" si="2"/>
        <v>-23473514.960000001</v>
      </c>
      <c r="M19" s="17">
        <v>12858485.039999999</v>
      </c>
      <c r="N19" s="19">
        <f t="shared" si="4"/>
        <v>0</v>
      </c>
    </row>
    <row r="20" spans="1:14" ht="31.5" x14ac:dyDescent="0.25">
      <c r="A20" s="16" t="s">
        <v>42</v>
      </c>
      <c r="B20" s="17">
        <v>0</v>
      </c>
      <c r="C20" s="17">
        <v>0</v>
      </c>
      <c r="D20" s="17">
        <v>0</v>
      </c>
      <c r="E20" s="17">
        <v>0</v>
      </c>
      <c r="F20" s="18">
        <v>2706700</v>
      </c>
      <c r="G20" s="18">
        <v>2706700</v>
      </c>
      <c r="H20" s="17">
        <f t="shared" si="0"/>
        <v>0</v>
      </c>
      <c r="I20" s="17">
        <v>2706700</v>
      </c>
      <c r="J20" s="17">
        <f t="shared" si="1"/>
        <v>0</v>
      </c>
      <c r="K20" s="17">
        <v>2706700</v>
      </c>
      <c r="L20" s="17">
        <f t="shared" si="2"/>
        <v>0</v>
      </c>
      <c r="M20" s="17">
        <v>2706700</v>
      </c>
      <c r="N20" s="19">
        <f t="shared" si="4"/>
        <v>0</v>
      </c>
    </row>
    <row r="21" spans="1:14" ht="157.5" x14ac:dyDescent="0.25">
      <c r="A21" s="16" t="s">
        <v>73</v>
      </c>
      <c r="B21" s="17">
        <v>17100</v>
      </c>
      <c r="C21" s="17">
        <v>0</v>
      </c>
      <c r="D21" s="17">
        <v>17100</v>
      </c>
      <c r="E21" s="17">
        <v>0</v>
      </c>
      <c r="F21" s="18">
        <v>4500</v>
      </c>
      <c r="G21" s="18">
        <v>4500</v>
      </c>
      <c r="H21" s="17">
        <f t="shared" si="0"/>
        <v>0</v>
      </c>
      <c r="I21" s="17">
        <v>4500</v>
      </c>
      <c r="J21" s="17">
        <f t="shared" si="1"/>
        <v>0</v>
      </c>
      <c r="K21" s="17">
        <v>0</v>
      </c>
      <c r="L21" s="17">
        <f t="shared" si="2"/>
        <v>-4500</v>
      </c>
      <c r="M21" s="17">
        <v>0</v>
      </c>
      <c r="N21" s="19">
        <f t="shared" si="4"/>
        <v>0</v>
      </c>
    </row>
    <row r="22" spans="1:14" ht="63" x14ac:dyDescent="0.25">
      <c r="A22" s="16" t="s">
        <v>8</v>
      </c>
      <c r="B22" s="17">
        <v>0</v>
      </c>
      <c r="C22" s="17">
        <v>0</v>
      </c>
      <c r="D22" s="17">
        <v>0</v>
      </c>
      <c r="E22" s="17">
        <v>0</v>
      </c>
      <c r="F22" s="18">
        <v>7566800</v>
      </c>
      <c r="G22" s="18">
        <v>7566800</v>
      </c>
      <c r="H22" s="17">
        <f t="shared" si="0"/>
        <v>0</v>
      </c>
      <c r="I22" s="17">
        <v>7566800</v>
      </c>
      <c r="J22" s="17">
        <f t="shared" si="1"/>
        <v>0</v>
      </c>
      <c r="K22" s="17">
        <v>810830.5</v>
      </c>
      <c r="L22" s="17">
        <f t="shared" si="2"/>
        <v>-6755969.5</v>
      </c>
      <c r="M22" s="17">
        <v>810830.5</v>
      </c>
      <c r="N22" s="19">
        <f t="shared" si="4"/>
        <v>0</v>
      </c>
    </row>
    <row r="23" spans="1:14" ht="47.25" x14ac:dyDescent="0.25">
      <c r="A23" s="16" t="s">
        <v>34</v>
      </c>
      <c r="B23" s="17">
        <v>0</v>
      </c>
      <c r="C23" s="17">
        <v>0</v>
      </c>
      <c r="D23" s="17">
        <v>0</v>
      </c>
      <c r="E23" s="17">
        <v>0</v>
      </c>
      <c r="F23" s="18">
        <v>1654500</v>
      </c>
      <c r="G23" s="18">
        <v>1662400</v>
      </c>
      <c r="H23" s="17">
        <f t="shared" si="0"/>
        <v>7900</v>
      </c>
      <c r="I23" s="17">
        <v>1662400</v>
      </c>
      <c r="J23" s="17">
        <f t="shared" si="1"/>
        <v>0</v>
      </c>
      <c r="K23" s="17">
        <v>1654500</v>
      </c>
      <c r="L23" s="17">
        <f t="shared" si="2"/>
        <v>-7900</v>
      </c>
      <c r="M23" s="17">
        <v>1654500</v>
      </c>
      <c r="N23" s="19">
        <f t="shared" si="4"/>
        <v>0</v>
      </c>
    </row>
    <row r="24" spans="1:14" ht="63" x14ac:dyDescent="0.25">
      <c r="A24" s="16" t="s">
        <v>9</v>
      </c>
      <c r="B24" s="17">
        <v>0</v>
      </c>
      <c r="C24" s="17">
        <v>0</v>
      </c>
      <c r="D24" s="17">
        <v>0</v>
      </c>
      <c r="E24" s="17">
        <v>0</v>
      </c>
      <c r="F24" s="18">
        <v>177700</v>
      </c>
      <c r="G24" s="18">
        <f>177700+16100</f>
        <v>193800</v>
      </c>
      <c r="H24" s="17">
        <f t="shared" si="0"/>
        <v>16100</v>
      </c>
      <c r="I24" s="17">
        <v>193800</v>
      </c>
      <c r="J24" s="17">
        <f t="shared" si="1"/>
        <v>0</v>
      </c>
      <c r="K24" s="17">
        <v>192033</v>
      </c>
      <c r="L24" s="17">
        <f t="shared" si="2"/>
        <v>-1767</v>
      </c>
      <c r="M24" s="17">
        <v>192033</v>
      </c>
      <c r="N24" s="19">
        <f t="shared" si="4"/>
        <v>0</v>
      </c>
    </row>
    <row r="25" spans="1:14" ht="63" x14ac:dyDescent="0.25">
      <c r="A25" s="16" t="s">
        <v>21</v>
      </c>
      <c r="B25" s="17">
        <v>0</v>
      </c>
      <c r="C25" s="17">
        <v>0</v>
      </c>
      <c r="D25" s="17">
        <v>0</v>
      </c>
      <c r="E25" s="17">
        <v>0</v>
      </c>
      <c r="F25" s="18">
        <v>16000000</v>
      </c>
      <c r="G25" s="18">
        <v>16000000</v>
      </c>
      <c r="H25" s="17">
        <f t="shared" si="0"/>
        <v>0</v>
      </c>
      <c r="I25" s="17">
        <v>16000000</v>
      </c>
      <c r="J25" s="17">
        <f t="shared" si="1"/>
        <v>0</v>
      </c>
      <c r="K25" s="17">
        <v>3479940</v>
      </c>
      <c r="L25" s="17">
        <f t="shared" si="2"/>
        <v>-12520060</v>
      </c>
      <c r="M25" s="17">
        <v>3479940</v>
      </c>
      <c r="N25" s="19">
        <f t="shared" si="4"/>
        <v>0</v>
      </c>
    </row>
    <row r="26" spans="1:14" ht="78.75" x14ac:dyDescent="0.25">
      <c r="A26" s="16" t="s">
        <v>22</v>
      </c>
      <c r="B26" s="17">
        <v>0</v>
      </c>
      <c r="C26" s="17">
        <v>0</v>
      </c>
      <c r="D26" s="17">
        <v>0</v>
      </c>
      <c r="E26" s="17">
        <v>0</v>
      </c>
      <c r="F26" s="18">
        <v>6000000</v>
      </c>
      <c r="G26" s="18">
        <v>6000000</v>
      </c>
      <c r="H26" s="17">
        <f t="shared" si="0"/>
        <v>0</v>
      </c>
      <c r="I26" s="17">
        <v>6000000</v>
      </c>
      <c r="J26" s="17">
        <f t="shared" si="1"/>
        <v>0</v>
      </c>
      <c r="K26" s="17">
        <v>0</v>
      </c>
      <c r="L26" s="17">
        <f t="shared" si="2"/>
        <v>-6000000</v>
      </c>
      <c r="M26" s="17">
        <v>0</v>
      </c>
      <c r="N26" s="19">
        <f t="shared" si="4"/>
        <v>0</v>
      </c>
    </row>
    <row r="27" spans="1:14" ht="63" x14ac:dyDescent="0.25">
      <c r="A27" s="16" t="s">
        <v>10</v>
      </c>
      <c r="B27" s="17">
        <v>0</v>
      </c>
      <c r="C27" s="17">
        <v>0</v>
      </c>
      <c r="D27" s="17">
        <v>0</v>
      </c>
      <c r="E27" s="17">
        <v>0</v>
      </c>
      <c r="F27" s="19">
        <v>3300</v>
      </c>
      <c r="G27" s="19">
        <v>23400</v>
      </c>
      <c r="H27" s="17">
        <f t="shared" si="0"/>
        <v>20100</v>
      </c>
      <c r="I27" s="17">
        <v>23400</v>
      </c>
      <c r="J27" s="17">
        <f t="shared" si="1"/>
        <v>0</v>
      </c>
      <c r="K27" s="17">
        <v>0</v>
      </c>
      <c r="L27" s="17">
        <f t="shared" si="2"/>
        <v>-23400</v>
      </c>
      <c r="M27" s="17">
        <v>0</v>
      </c>
      <c r="N27" s="19">
        <f t="shared" si="4"/>
        <v>0</v>
      </c>
    </row>
    <row r="28" spans="1:14" s="23" customFormat="1" x14ac:dyDescent="0.25">
      <c r="A28" s="22" t="s">
        <v>11</v>
      </c>
      <c r="B28" s="9">
        <f t="shared" ref="B28:G28" si="5">SUM(B7:B27)</f>
        <v>20673462.080000002</v>
      </c>
      <c r="C28" s="9">
        <f t="shared" si="5"/>
        <v>65</v>
      </c>
      <c r="D28" s="9">
        <f t="shared" si="5"/>
        <v>20673527.080000002</v>
      </c>
      <c r="E28" s="9">
        <f t="shared" si="5"/>
        <v>0</v>
      </c>
      <c r="F28" s="9">
        <f t="shared" si="5"/>
        <v>4091847300</v>
      </c>
      <c r="G28" s="9">
        <f t="shared" si="5"/>
        <v>4240903400</v>
      </c>
      <c r="H28" s="9">
        <f t="shared" si="0"/>
        <v>149056100</v>
      </c>
      <c r="I28" s="9">
        <f>SUM(I7:I27)</f>
        <v>4250576200</v>
      </c>
      <c r="J28" s="9">
        <f t="shared" si="1"/>
        <v>9672800</v>
      </c>
      <c r="K28" s="9">
        <f>SUM(K7:K27)</f>
        <v>2650952964.8300004</v>
      </c>
      <c r="L28" s="9">
        <f t="shared" si="2"/>
        <v>-1599623235.1699996</v>
      </c>
      <c r="M28" s="9">
        <f>SUM(M7:M27)</f>
        <v>2650952964.8300004</v>
      </c>
      <c r="N28" s="8">
        <f t="shared" si="4"/>
        <v>0</v>
      </c>
    </row>
    <row r="29" spans="1:14" x14ac:dyDescent="0.25">
      <c r="A29" s="35" t="s">
        <v>15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ht="31.5" x14ac:dyDescent="0.25">
      <c r="A30" s="16" t="s">
        <v>57</v>
      </c>
      <c r="B30" s="17">
        <v>0</v>
      </c>
      <c r="C30" s="17">
        <v>0</v>
      </c>
      <c r="D30" s="17">
        <v>0</v>
      </c>
      <c r="E30" s="17">
        <v>0</v>
      </c>
      <c r="F30" s="19">
        <v>3944799100</v>
      </c>
      <c r="G30" s="19">
        <f>3944799100+125353700+196066100</f>
        <v>4266218900</v>
      </c>
      <c r="H30" s="17">
        <f t="shared" si="0"/>
        <v>321419800</v>
      </c>
      <c r="I30" s="17">
        <f>2732949200+1533269700</f>
        <v>4266218900</v>
      </c>
      <c r="J30" s="17">
        <f>I30-G30</f>
        <v>0</v>
      </c>
      <c r="K30" s="17">
        <f>2115647233.09+1293304891.97</f>
        <v>3408952125.0599999</v>
      </c>
      <c r="L30" s="17">
        <f>K30-I30</f>
        <v>-857266774.94000006</v>
      </c>
      <c r="M30" s="17">
        <f>1292491043.64+2114374290.81</f>
        <v>3406865334.4499998</v>
      </c>
      <c r="N30" s="19">
        <f t="shared" si="4"/>
        <v>2086790.6100001335</v>
      </c>
    </row>
    <row r="31" spans="1:14" ht="126" x14ac:dyDescent="0.25">
      <c r="A31" s="16" t="s">
        <v>12</v>
      </c>
      <c r="B31" s="17">
        <v>0</v>
      </c>
      <c r="C31" s="17">
        <v>0</v>
      </c>
      <c r="D31" s="17">
        <v>0</v>
      </c>
      <c r="E31" s="17">
        <v>0</v>
      </c>
      <c r="F31" s="19">
        <v>60768000</v>
      </c>
      <c r="G31" s="19">
        <v>60768000</v>
      </c>
      <c r="H31" s="17">
        <f t="shared" si="0"/>
        <v>0</v>
      </c>
      <c r="I31" s="17">
        <v>57893500</v>
      </c>
      <c r="J31" s="17">
        <f t="shared" ref="J31:J74" si="6">I31-G31</f>
        <v>-2874500</v>
      </c>
      <c r="K31" s="17">
        <v>35752000</v>
      </c>
      <c r="L31" s="17">
        <f t="shared" ref="L31:L74" si="7">K31-I31</f>
        <v>-22141500</v>
      </c>
      <c r="M31" s="17">
        <v>35752000</v>
      </c>
      <c r="N31" s="19">
        <f t="shared" si="4"/>
        <v>0</v>
      </c>
    </row>
    <row r="32" spans="1:14" s="24" customFormat="1" ht="47.25" x14ac:dyDescent="0.25">
      <c r="A32" s="16" t="s">
        <v>48</v>
      </c>
      <c r="B32" s="17">
        <v>0</v>
      </c>
      <c r="C32" s="17">
        <v>0</v>
      </c>
      <c r="D32" s="17">
        <v>0</v>
      </c>
      <c r="E32" s="17">
        <v>0</v>
      </c>
      <c r="F32" s="19">
        <v>152982600</v>
      </c>
      <c r="G32" s="19">
        <v>152982600</v>
      </c>
      <c r="H32" s="17">
        <f t="shared" si="0"/>
        <v>0</v>
      </c>
      <c r="I32" s="17">
        <v>152982600</v>
      </c>
      <c r="J32" s="17">
        <f t="shared" si="6"/>
        <v>0</v>
      </c>
      <c r="K32" s="17">
        <v>58500000</v>
      </c>
      <c r="L32" s="17">
        <f t="shared" si="7"/>
        <v>-94482600</v>
      </c>
      <c r="M32" s="17">
        <v>58500000</v>
      </c>
      <c r="N32" s="19">
        <f t="shared" si="4"/>
        <v>0</v>
      </c>
    </row>
    <row r="33" spans="1:14" s="24" customFormat="1" ht="47.25" x14ac:dyDescent="0.25">
      <c r="A33" s="16" t="s">
        <v>49</v>
      </c>
      <c r="B33" s="17">
        <v>0</v>
      </c>
      <c r="C33" s="17">
        <v>0</v>
      </c>
      <c r="D33" s="17">
        <v>0</v>
      </c>
      <c r="E33" s="17">
        <v>0</v>
      </c>
      <c r="F33" s="19">
        <v>451995400</v>
      </c>
      <c r="G33" s="19">
        <v>451995400</v>
      </c>
      <c r="H33" s="17">
        <f t="shared" si="0"/>
        <v>0</v>
      </c>
      <c r="I33" s="17">
        <f>176278200+275717200</f>
        <v>451995400</v>
      </c>
      <c r="J33" s="17">
        <f t="shared" si="6"/>
        <v>0</v>
      </c>
      <c r="K33" s="17">
        <f>141785500.29+221767076.9</f>
        <v>363552577.19</v>
      </c>
      <c r="L33" s="17">
        <f t="shared" si="7"/>
        <v>-88442822.810000002</v>
      </c>
      <c r="M33" s="17">
        <f>141785500.29+221767076.9</f>
        <v>363552577.19</v>
      </c>
      <c r="N33" s="19">
        <f t="shared" si="4"/>
        <v>0</v>
      </c>
    </row>
    <row r="34" spans="1:14" s="24" customFormat="1" ht="47.25" x14ac:dyDescent="0.25">
      <c r="A34" s="16" t="s">
        <v>54</v>
      </c>
      <c r="B34" s="17">
        <v>0</v>
      </c>
      <c r="C34" s="17">
        <v>0</v>
      </c>
      <c r="D34" s="17">
        <v>0</v>
      </c>
      <c r="E34" s="17">
        <v>0</v>
      </c>
      <c r="F34" s="19">
        <v>172442200</v>
      </c>
      <c r="G34" s="19">
        <f>172442200+98714900</f>
        <v>271157100</v>
      </c>
      <c r="H34" s="17">
        <f t="shared" si="0"/>
        <v>98714900</v>
      </c>
      <c r="I34" s="17">
        <v>271157100</v>
      </c>
      <c r="J34" s="17">
        <f t="shared" si="6"/>
        <v>0</v>
      </c>
      <c r="K34" s="17">
        <v>9836829.8200000003</v>
      </c>
      <c r="L34" s="17">
        <f t="shared" si="7"/>
        <v>-261320270.18000001</v>
      </c>
      <c r="M34" s="17">
        <v>9836829.8200000003</v>
      </c>
      <c r="N34" s="19">
        <f t="shared" si="4"/>
        <v>0</v>
      </c>
    </row>
    <row r="35" spans="1:14" s="24" customFormat="1" ht="63" x14ac:dyDescent="0.25">
      <c r="A35" s="16" t="s">
        <v>50</v>
      </c>
      <c r="B35" s="17">
        <v>0</v>
      </c>
      <c r="C35" s="17">
        <v>0</v>
      </c>
      <c r="D35" s="17">
        <v>0</v>
      </c>
      <c r="E35" s="17">
        <v>0</v>
      </c>
      <c r="F35" s="19">
        <v>77461600</v>
      </c>
      <c r="G35" s="19">
        <v>77461600</v>
      </c>
      <c r="H35" s="17">
        <f t="shared" si="0"/>
        <v>0</v>
      </c>
      <c r="I35" s="17">
        <f>34857600+42604000</f>
        <v>77461600</v>
      </c>
      <c r="J35" s="17">
        <f t="shared" si="6"/>
        <v>0</v>
      </c>
      <c r="K35" s="17">
        <f>31713008.44+38760710.55</f>
        <v>70473718.989999995</v>
      </c>
      <c r="L35" s="17">
        <f t="shared" si="7"/>
        <v>-6987881.0100000054</v>
      </c>
      <c r="M35" s="17">
        <f>31713008.44+38760710.55</f>
        <v>70473718.989999995</v>
      </c>
      <c r="N35" s="19">
        <f t="shared" si="4"/>
        <v>0</v>
      </c>
    </row>
    <row r="36" spans="1:14" s="24" customFormat="1" ht="65.25" customHeight="1" x14ac:dyDescent="0.25">
      <c r="A36" s="16" t="s">
        <v>58</v>
      </c>
      <c r="B36" s="17">
        <v>0</v>
      </c>
      <c r="C36" s="17">
        <v>0</v>
      </c>
      <c r="D36" s="17">
        <v>0</v>
      </c>
      <c r="E36" s="17">
        <v>0</v>
      </c>
      <c r="F36" s="19">
        <v>4142100</v>
      </c>
      <c r="G36" s="19">
        <v>4142100</v>
      </c>
      <c r="H36" s="17">
        <f t="shared" si="0"/>
        <v>0</v>
      </c>
      <c r="I36" s="17">
        <f>1615400+2526700</f>
        <v>4142100</v>
      </c>
      <c r="J36" s="17">
        <f t="shared" si="6"/>
        <v>0</v>
      </c>
      <c r="K36" s="17">
        <f>1035981.86+1620384.16</f>
        <v>2656366.02</v>
      </c>
      <c r="L36" s="17">
        <f t="shared" si="7"/>
        <v>-1485733.98</v>
      </c>
      <c r="M36" s="17">
        <f>1035981.86+1620384.16</f>
        <v>2656366.02</v>
      </c>
      <c r="N36" s="19">
        <f t="shared" si="4"/>
        <v>0</v>
      </c>
    </row>
    <row r="37" spans="1:14" s="24" customFormat="1" ht="94.5" x14ac:dyDescent="0.25">
      <c r="A37" s="16" t="s">
        <v>25</v>
      </c>
      <c r="B37" s="17">
        <v>0</v>
      </c>
      <c r="C37" s="17">
        <v>0</v>
      </c>
      <c r="D37" s="17">
        <v>0</v>
      </c>
      <c r="E37" s="17">
        <v>0</v>
      </c>
      <c r="F37" s="19">
        <v>21989400</v>
      </c>
      <c r="G37" s="19">
        <v>21989400</v>
      </c>
      <c r="H37" s="17">
        <f t="shared" si="0"/>
        <v>0</v>
      </c>
      <c r="I37" s="17">
        <v>19958000</v>
      </c>
      <c r="J37" s="17">
        <f t="shared" si="6"/>
        <v>-2031400</v>
      </c>
      <c r="K37" s="17">
        <v>15568225.050000001</v>
      </c>
      <c r="L37" s="17">
        <f t="shared" si="7"/>
        <v>-4389774.9499999993</v>
      </c>
      <c r="M37" s="17">
        <v>15568225.050000001</v>
      </c>
      <c r="N37" s="19">
        <f t="shared" si="4"/>
        <v>0</v>
      </c>
    </row>
    <row r="38" spans="1:14" s="24" customFormat="1" ht="47.25" x14ac:dyDescent="0.25">
      <c r="A38" s="16" t="s">
        <v>35</v>
      </c>
      <c r="B38" s="17">
        <v>0</v>
      </c>
      <c r="C38" s="17">
        <v>0</v>
      </c>
      <c r="D38" s="17">
        <v>0</v>
      </c>
      <c r="E38" s="17">
        <v>0</v>
      </c>
      <c r="F38" s="19">
        <v>376100</v>
      </c>
      <c r="G38" s="19">
        <v>376100</v>
      </c>
      <c r="H38" s="17">
        <f t="shared" si="0"/>
        <v>0</v>
      </c>
      <c r="I38" s="17">
        <v>376100</v>
      </c>
      <c r="J38" s="17">
        <f t="shared" si="6"/>
        <v>0</v>
      </c>
      <c r="K38" s="17">
        <v>343132</v>
      </c>
      <c r="L38" s="17">
        <f t="shared" si="7"/>
        <v>-32968</v>
      </c>
      <c r="M38" s="17">
        <v>343132</v>
      </c>
      <c r="N38" s="19">
        <f t="shared" si="4"/>
        <v>0</v>
      </c>
    </row>
    <row r="39" spans="1:14" s="24" customFormat="1" ht="31.5" x14ac:dyDescent="0.25">
      <c r="A39" s="16" t="s">
        <v>36</v>
      </c>
      <c r="B39" s="17">
        <v>0</v>
      </c>
      <c r="C39" s="17">
        <v>0</v>
      </c>
      <c r="D39" s="17">
        <v>0</v>
      </c>
      <c r="E39" s="17">
        <v>0</v>
      </c>
      <c r="F39" s="19">
        <v>401130400</v>
      </c>
      <c r="G39" s="19">
        <v>401130400</v>
      </c>
      <c r="H39" s="17">
        <f t="shared" si="0"/>
        <v>0</v>
      </c>
      <c r="I39" s="17">
        <v>401130400</v>
      </c>
      <c r="J39" s="17">
        <f t="shared" si="6"/>
        <v>0</v>
      </c>
      <c r="K39" s="17">
        <v>401130400</v>
      </c>
      <c r="L39" s="17">
        <f t="shared" si="7"/>
        <v>0</v>
      </c>
      <c r="M39" s="17">
        <v>401130400</v>
      </c>
      <c r="N39" s="19">
        <f t="shared" si="4"/>
        <v>0</v>
      </c>
    </row>
    <row r="40" spans="1:14" s="24" customFormat="1" ht="31.5" x14ac:dyDescent="0.25">
      <c r="A40" s="16" t="s">
        <v>43</v>
      </c>
      <c r="B40" s="17">
        <v>0</v>
      </c>
      <c r="C40" s="17">
        <v>0</v>
      </c>
      <c r="D40" s="17">
        <v>0</v>
      </c>
      <c r="E40" s="17">
        <v>0</v>
      </c>
      <c r="F40" s="19">
        <v>473100</v>
      </c>
      <c r="G40" s="19">
        <v>473100</v>
      </c>
      <c r="H40" s="17">
        <f t="shared" si="0"/>
        <v>0</v>
      </c>
      <c r="I40" s="17">
        <f>212893.87+260206.13</f>
        <v>473100</v>
      </c>
      <c r="J40" s="17">
        <f t="shared" si="6"/>
        <v>0</v>
      </c>
      <c r="K40" s="17">
        <f>212893.87+260206.13</f>
        <v>473100</v>
      </c>
      <c r="L40" s="17">
        <f t="shared" si="7"/>
        <v>0</v>
      </c>
      <c r="M40" s="17">
        <f>212893.87+260206.13</f>
        <v>473100</v>
      </c>
      <c r="N40" s="19">
        <f t="shared" si="4"/>
        <v>0</v>
      </c>
    </row>
    <row r="41" spans="1:14" s="24" customFormat="1" ht="78.75" x14ac:dyDescent="0.25">
      <c r="A41" s="16" t="s">
        <v>64</v>
      </c>
      <c r="B41" s="17">
        <v>0</v>
      </c>
      <c r="C41" s="17">
        <v>0</v>
      </c>
      <c r="D41" s="17">
        <v>0</v>
      </c>
      <c r="E41" s="17">
        <v>0</v>
      </c>
      <c r="F41" s="19">
        <v>473500</v>
      </c>
      <c r="G41" s="19">
        <v>473500</v>
      </c>
      <c r="H41" s="17">
        <f t="shared" si="0"/>
        <v>0</v>
      </c>
      <c r="I41" s="17">
        <v>473500</v>
      </c>
      <c r="J41" s="17">
        <f t="shared" si="6"/>
        <v>0</v>
      </c>
      <c r="K41" s="17">
        <v>473500</v>
      </c>
      <c r="L41" s="17">
        <f t="shared" si="7"/>
        <v>0</v>
      </c>
      <c r="M41" s="17">
        <v>473500</v>
      </c>
      <c r="N41" s="19">
        <f t="shared" si="4"/>
        <v>0</v>
      </c>
    </row>
    <row r="42" spans="1:14" s="24" customFormat="1" ht="31.5" x14ac:dyDescent="0.25">
      <c r="A42" s="16" t="s">
        <v>83</v>
      </c>
      <c r="B42" s="17">
        <v>0</v>
      </c>
      <c r="C42" s="17">
        <v>284999.99999999627</v>
      </c>
      <c r="D42" s="17">
        <v>284999.99999999627</v>
      </c>
      <c r="E42" s="17">
        <v>0</v>
      </c>
      <c r="F42" s="19">
        <v>0</v>
      </c>
      <c r="G42" s="19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9">
        <v>0</v>
      </c>
    </row>
    <row r="43" spans="1:14" s="24" customFormat="1" ht="31.5" x14ac:dyDescent="0.25">
      <c r="A43" s="16" t="s">
        <v>51</v>
      </c>
      <c r="B43" s="17">
        <v>0</v>
      </c>
      <c r="C43" s="17">
        <v>0</v>
      </c>
      <c r="D43" s="17">
        <v>0</v>
      </c>
      <c r="E43" s="17">
        <v>0</v>
      </c>
      <c r="F43" s="19">
        <v>4143000</v>
      </c>
      <c r="G43" s="19">
        <v>4143000</v>
      </c>
      <c r="H43" s="17">
        <f t="shared" si="0"/>
        <v>0</v>
      </c>
      <c r="I43" s="17">
        <v>4143000</v>
      </c>
      <c r="J43" s="17">
        <f t="shared" si="6"/>
        <v>0</v>
      </c>
      <c r="K43" s="17">
        <v>4143000</v>
      </c>
      <c r="L43" s="17">
        <f t="shared" si="7"/>
        <v>0</v>
      </c>
      <c r="M43" s="17">
        <v>4143000</v>
      </c>
      <c r="N43" s="19">
        <f t="shared" si="4"/>
        <v>0</v>
      </c>
    </row>
    <row r="44" spans="1:14" s="24" customFormat="1" ht="32.25" customHeight="1" x14ac:dyDescent="0.25">
      <c r="A44" s="16" t="s">
        <v>59</v>
      </c>
      <c r="B44" s="17">
        <v>0</v>
      </c>
      <c r="C44" s="17">
        <v>0</v>
      </c>
      <c r="D44" s="17">
        <v>0</v>
      </c>
      <c r="E44" s="17">
        <v>0</v>
      </c>
      <c r="F44" s="19">
        <v>1121900</v>
      </c>
      <c r="G44" s="19">
        <v>1121900</v>
      </c>
      <c r="H44" s="17">
        <f t="shared" si="0"/>
        <v>0</v>
      </c>
      <c r="I44" s="17">
        <f>504851.5+617048.5</f>
        <v>1121900</v>
      </c>
      <c r="J44" s="17">
        <f t="shared" si="6"/>
        <v>0</v>
      </c>
      <c r="K44" s="17">
        <f>504851.5+617048.5</f>
        <v>1121900</v>
      </c>
      <c r="L44" s="17">
        <f t="shared" si="7"/>
        <v>0</v>
      </c>
      <c r="M44" s="17">
        <f>504851.5+617048.5</f>
        <v>1121900</v>
      </c>
      <c r="N44" s="19">
        <f t="shared" si="4"/>
        <v>0</v>
      </c>
    </row>
    <row r="45" spans="1:14" s="24" customFormat="1" ht="134.25" customHeight="1" x14ac:dyDescent="0.25">
      <c r="A45" s="16" t="s">
        <v>63</v>
      </c>
      <c r="B45" s="17">
        <v>0</v>
      </c>
      <c r="C45" s="17">
        <v>0</v>
      </c>
      <c r="D45" s="17">
        <v>0</v>
      </c>
      <c r="E45" s="17">
        <v>0</v>
      </c>
      <c r="F45" s="19">
        <v>20582800</v>
      </c>
      <c r="G45" s="19">
        <v>20582800</v>
      </c>
      <c r="H45" s="17">
        <f t="shared" si="0"/>
        <v>0</v>
      </c>
      <c r="I45" s="17">
        <v>20582800</v>
      </c>
      <c r="J45" s="17">
        <f t="shared" si="6"/>
        <v>0</v>
      </c>
      <c r="K45" s="17">
        <v>10880499.6</v>
      </c>
      <c r="L45" s="17">
        <f t="shared" si="7"/>
        <v>-9702300.4000000004</v>
      </c>
      <c r="M45" s="17">
        <v>10880499.6</v>
      </c>
      <c r="N45" s="19">
        <f t="shared" si="4"/>
        <v>0</v>
      </c>
    </row>
    <row r="46" spans="1:14" s="24" customFormat="1" ht="47.25" x14ac:dyDescent="0.25">
      <c r="A46" s="16" t="s">
        <v>44</v>
      </c>
      <c r="B46" s="17">
        <v>0</v>
      </c>
      <c r="C46" s="17">
        <v>0</v>
      </c>
      <c r="D46" s="17">
        <v>0</v>
      </c>
      <c r="E46" s="17">
        <v>0</v>
      </c>
      <c r="F46" s="19">
        <v>1545900</v>
      </c>
      <c r="G46" s="19">
        <v>1545900</v>
      </c>
      <c r="H46" s="17">
        <f t="shared" si="0"/>
        <v>0</v>
      </c>
      <c r="I46" s="17">
        <v>1545900</v>
      </c>
      <c r="J46" s="17">
        <f t="shared" si="6"/>
        <v>0</v>
      </c>
      <c r="K46" s="17">
        <v>1545900</v>
      </c>
      <c r="L46" s="17">
        <f t="shared" si="7"/>
        <v>0</v>
      </c>
      <c r="M46" s="17">
        <v>1545900</v>
      </c>
      <c r="N46" s="19">
        <f t="shared" si="4"/>
        <v>0</v>
      </c>
    </row>
    <row r="47" spans="1:14" s="24" customFormat="1" ht="78.75" x14ac:dyDescent="0.25">
      <c r="A47" s="16" t="s">
        <v>52</v>
      </c>
      <c r="B47" s="17">
        <v>0</v>
      </c>
      <c r="C47" s="17">
        <v>0</v>
      </c>
      <c r="D47" s="17">
        <v>0</v>
      </c>
      <c r="E47" s="17">
        <v>0</v>
      </c>
      <c r="F47" s="19">
        <v>9276700</v>
      </c>
      <c r="G47" s="19">
        <v>9276700</v>
      </c>
      <c r="H47" s="17">
        <f t="shared" si="0"/>
        <v>0</v>
      </c>
      <c r="I47" s="17">
        <v>9276700</v>
      </c>
      <c r="J47" s="17">
        <f t="shared" si="6"/>
        <v>0</v>
      </c>
      <c r="K47" s="17">
        <v>0</v>
      </c>
      <c r="L47" s="17">
        <f t="shared" si="7"/>
        <v>-9276700</v>
      </c>
      <c r="M47" s="17">
        <v>0</v>
      </c>
      <c r="N47" s="19">
        <f t="shared" si="4"/>
        <v>0</v>
      </c>
    </row>
    <row r="48" spans="1:14" s="24" customFormat="1" ht="78.75" x14ac:dyDescent="0.25">
      <c r="A48" s="16" t="s">
        <v>26</v>
      </c>
      <c r="B48" s="17">
        <v>0</v>
      </c>
      <c r="C48" s="17">
        <v>0</v>
      </c>
      <c r="D48" s="17">
        <v>0</v>
      </c>
      <c r="E48" s="17">
        <v>0</v>
      </c>
      <c r="F48" s="19">
        <v>936900</v>
      </c>
      <c r="G48" s="19">
        <v>936900</v>
      </c>
      <c r="H48" s="17">
        <f t="shared" si="0"/>
        <v>0</v>
      </c>
      <c r="I48" s="17">
        <f>421602.23+515297.77</f>
        <v>936900</v>
      </c>
      <c r="J48" s="17">
        <f t="shared" si="6"/>
        <v>0</v>
      </c>
      <c r="K48" s="17">
        <f>113419.28+138625.22</f>
        <v>252044.5</v>
      </c>
      <c r="L48" s="17">
        <f t="shared" si="7"/>
        <v>-684855.5</v>
      </c>
      <c r="M48" s="17">
        <f>113419.28+138625.22</f>
        <v>252044.5</v>
      </c>
      <c r="N48" s="19">
        <f t="shared" si="4"/>
        <v>0</v>
      </c>
    </row>
    <row r="49" spans="1:14" s="24" customFormat="1" ht="47.25" x14ac:dyDescent="0.25">
      <c r="A49" s="21" t="s">
        <v>76</v>
      </c>
      <c r="B49" s="17">
        <v>0</v>
      </c>
      <c r="C49" s="17">
        <v>0</v>
      </c>
      <c r="D49" s="17">
        <v>0</v>
      </c>
      <c r="E49" s="17">
        <v>0</v>
      </c>
      <c r="F49" s="19">
        <v>0</v>
      </c>
      <c r="G49" s="19">
        <v>112305400</v>
      </c>
      <c r="H49" s="17">
        <f t="shared" si="0"/>
        <v>112305400</v>
      </c>
      <c r="I49" s="17">
        <v>112305400</v>
      </c>
      <c r="J49" s="17">
        <f t="shared" si="6"/>
        <v>0</v>
      </c>
      <c r="K49" s="17">
        <v>45070425</v>
      </c>
      <c r="L49" s="17">
        <f t="shared" ref="L49" si="8">K49-I49</f>
        <v>-67234975</v>
      </c>
      <c r="M49" s="17">
        <v>45070425</v>
      </c>
      <c r="N49" s="19">
        <f t="shared" ref="N49" si="9">B49+C49-D49+E49+K49-M49</f>
        <v>0</v>
      </c>
    </row>
    <row r="50" spans="1:14" s="24" customFormat="1" ht="31.5" x14ac:dyDescent="0.25">
      <c r="A50" s="16" t="s">
        <v>60</v>
      </c>
      <c r="B50" s="17">
        <v>0</v>
      </c>
      <c r="C50" s="17">
        <v>0</v>
      </c>
      <c r="D50" s="17">
        <v>0</v>
      </c>
      <c r="E50" s="17">
        <v>0</v>
      </c>
      <c r="F50" s="19">
        <v>77433500</v>
      </c>
      <c r="G50" s="19">
        <v>77433500</v>
      </c>
      <c r="H50" s="17">
        <f t="shared" si="0"/>
        <v>0</v>
      </c>
      <c r="I50" s="17">
        <v>111242600</v>
      </c>
      <c r="J50" s="17">
        <f t="shared" si="6"/>
        <v>33809100</v>
      </c>
      <c r="K50" s="17">
        <v>8978298.8800000008</v>
      </c>
      <c r="L50" s="17">
        <f t="shared" si="7"/>
        <v>-102264301.12</v>
      </c>
      <c r="M50" s="17">
        <v>8978298.8800000008</v>
      </c>
      <c r="N50" s="19">
        <f t="shared" si="4"/>
        <v>0</v>
      </c>
    </row>
    <row r="51" spans="1:14" s="24" customFormat="1" ht="31.5" x14ac:dyDescent="0.25">
      <c r="A51" s="16" t="s">
        <v>61</v>
      </c>
      <c r="B51" s="17">
        <v>0</v>
      </c>
      <c r="C51" s="17">
        <v>0</v>
      </c>
      <c r="D51" s="17">
        <v>0</v>
      </c>
      <c r="E51" s="17">
        <v>0</v>
      </c>
      <c r="F51" s="19">
        <v>11867400</v>
      </c>
      <c r="G51" s="19">
        <f>11867400-9155600</f>
        <v>2711800</v>
      </c>
      <c r="H51" s="17">
        <f t="shared" si="0"/>
        <v>-9155600</v>
      </c>
      <c r="I51" s="17">
        <v>2711800</v>
      </c>
      <c r="J51" s="17">
        <f t="shared" si="6"/>
        <v>0</v>
      </c>
      <c r="K51" s="17">
        <v>0</v>
      </c>
      <c r="L51" s="17">
        <f t="shared" si="7"/>
        <v>-2711800</v>
      </c>
      <c r="M51" s="17">
        <v>0</v>
      </c>
      <c r="N51" s="19">
        <f t="shared" si="4"/>
        <v>0</v>
      </c>
    </row>
    <row r="52" spans="1:14" s="24" customFormat="1" ht="31.5" x14ac:dyDescent="0.25">
      <c r="A52" s="16" t="s">
        <v>37</v>
      </c>
      <c r="B52" s="17">
        <v>0</v>
      </c>
      <c r="C52" s="17">
        <v>0</v>
      </c>
      <c r="D52" s="17">
        <v>0</v>
      </c>
      <c r="E52" s="17">
        <v>0</v>
      </c>
      <c r="F52" s="19">
        <v>2347100</v>
      </c>
      <c r="G52" s="19">
        <f>2347100+400673.35</f>
        <v>2747773.35</v>
      </c>
      <c r="H52" s="17">
        <f>G52-F52</f>
        <v>400673.35000000009</v>
      </c>
      <c r="I52" s="17">
        <f>168724.47+2579048.88</f>
        <v>2747773.35</v>
      </c>
      <c r="J52" s="17">
        <f t="shared" si="6"/>
        <v>0</v>
      </c>
      <c r="K52" s="17">
        <f>168724.47+2579048.88</f>
        <v>2747773.35</v>
      </c>
      <c r="L52" s="17">
        <f t="shared" si="7"/>
        <v>0</v>
      </c>
      <c r="M52" s="17">
        <f>168724.47+2579048.88</f>
        <v>2747773.35</v>
      </c>
      <c r="N52" s="19">
        <f t="shared" si="4"/>
        <v>0</v>
      </c>
    </row>
    <row r="53" spans="1:14" s="24" customFormat="1" ht="31.5" x14ac:dyDescent="0.25">
      <c r="A53" s="16" t="s">
        <v>13</v>
      </c>
      <c r="B53" s="17">
        <v>0</v>
      </c>
      <c r="C53" s="17">
        <v>1223.42</v>
      </c>
      <c r="D53" s="17">
        <v>1223.42</v>
      </c>
      <c r="E53" s="17">
        <v>0</v>
      </c>
      <c r="F53" s="19">
        <v>68800</v>
      </c>
      <c r="G53" s="19">
        <v>68800</v>
      </c>
      <c r="H53" s="17">
        <f t="shared" si="0"/>
        <v>0</v>
      </c>
      <c r="I53" s="17">
        <v>68800</v>
      </c>
      <c r="J53" s="17">
        <f t="shared" si="6"/>
        <v>0</v>
      </c>
      <c r="K53" s="17">
        <v>31948</v>
      </c>
      <c r="L53" s="17">
        <f t="shared" si="7"/>
        <v>-36852</v>
      </c>
      <c r="M53" s="17">
        <v>31948</v>
      </c>
      <c r="N53" s="19">
        <f t="shared" si="4"/>
        <v>0</v>
      </c>
    </row>
    <row r="54" spans="1:14" s="24" customFormat="1" ht="31.5" x14ac:dyDescent="0.25">
      <c r="A54" s="16" t="s">
        <v>75</v>
      </c>
      <c r="B54" s="17">
        <v>0</v>
      </c>
      <c r="C54" s="17">
        <v>0</v>
      </c>
      <c r="D54" s="17">
        <v>0</v>
      </c>
      <c r="E54" s="17">
        <v>0</v>
      </c>
      <c r="F54" s="19">
        <v>0</v>
      </c>
      <c r="G54" s="19">
        <f>4865000+2691500+14000+1400+2520+71225</f>
        <v>7645645</v>
      </c>
      <c r="H54" s="17">
        <f t="shared" si="0"/>
        <v>7645645</v>
      </c>
      <c r="I54" s="19">
        <f>4865000+2691500+14000+1400+2520+71225</f>
        <v>7645645</v>
      </c>
      <c r="J54" s="17">
        <f t="shared" si="6"/>
        <v>0</v>
      </c>
      <c r="K54" s="17">
        <v>6604101.8099999996</v>
      </c>
      <c r="L54" s="17">
        <f t="shared" si="7"/>
        <v>-1041543.1900000004</v>
      </c>
      <c r="M54" s="17">
        <v>6604101.8099999996</v>
      </c>
      <c r="N54" s="19">
        <f t="shared" si="4"/>
        <v>0</v>
      </c>
    </row>
    <row r="55" spans="1:14" s="24" customFormat="1" ht="63" x14ac:dyDescent="0.25">
      <c r="A55" s="16" t="s">
        <v>45</v>
      </c>
      <c r="B55" s="17">
        <v>0</v>
      </c>
      <c r="C55" s="17">
        <v>0</v>
      </c>
      <c r="D55" s="17">
        <v>0</v>
      </c>
      <c r="E55" s="17">
        <v>0</v>
      </c>
      <c r="F55" s="19">
        <v>106799200</v>
      </c>
      <c r="G55" s="19">
        <v>106799200</v>
      </c>
      <c r="H55" s="17">
        <f t="shared" si="0"/>
        <v>0</v>
      </c>
      <c r="I55" s="17">
        <f>48059600+58739600</f>
        <v>106799200</v>
      </c>
      <c r="J55" s="17">
        <f t="shared" si="6"/>
        <v>0</v>
      </c>
      <c r="K55" s="17">
        <f>21490942.62+26266709.82</f>
        <v>47757652.439999998</v>
      </c>
      <c r="L55" s="17">
        <f t="shared" si="7"/>
        <v>-59041547.560000002</v>
      </c>
      <c r="M55" s="17">
        <f>21490942.62+26266709.82</f>
        <v>47757652.439999998</v>
      </c>
      <c r="N55" s="19">
        <f t="shared" si="4"/>
        <v>0</v>
      </c>
    </row>
    <row r="56" spans="1:14" s="25" customFormat="1" ht="78.75" x14ac:dyDescent="0.25">
      <c r="A56" s="16" t="s">
        <v>46</v>
      </c>
      <c r="B56" s="17">
        <v>0</v>
      </c>
      <c r="C56" s="17">
        <v>0</v>
      </c>
      <c r="D56" s="17">
        <v>0</v>
      </c>
      <c r="E56" s="17">
        <v>0</v>
      </c>
      <c r="F56" s="19">
        <v>195600</v>
      </c>
      <c r="G56" s="19">
        <v>195600</v>
      </c>
      <c r="H56" s="17">
        <f t="shared" si="0"/>
        <v>0</v>
      </c>
      <c r="I56" s="17">
        <v>195600</v>
      </c>
      <c r="J56" s="17">
        <f t="shared" si="6"/>
        <v>0</v>
      </c>
      <c r="K56" s="17">
        <v>71025</v>
      </c>
      <c r="L56" s="17">
        <f t="shared" si="7"/>
        <v>-124575</v>
      </c>
      <c r="M56" s="17">
        <v>71025</v>
      </c>
      <c r="N56" s="19">
        <f t="shared" si="4"/>
        <v>0</v>
      </c>
    </row>
    <row r="57" spans="1:14" s="24" customFormat="1" ht="110.25" x14ac:dyDescent="0.25">
      <c r="A57" s="16" t="s">
        <v>55</v>
      </c>
      <c r="B57" s="17">
        <v>0</v>
      </c>
      <c r="C57" s="17">
        <v>0</v>
      </c>
      <c r="D57" s="17">
        <v>0</v>
      </c>
      <c r="E57" s="17">
        <v>0</v>
      </c>
      <c r="F57" s="19">
        <v>673900</v>
      </c>
      <c r="G57" s="19">
        <v>673900</v>
      </c>
      <c r="H57" s="17">
        <f t="shared" si="0"/>
        <v>0</v>
      </c>
      <c r="I57" s="17">
        <v>673900</v>
      </c>
      <c r="J57" s="17">
        <f t="shared" si="6"/>
        <v>0</v>
      </c>
      <c r="K57" s="17">
        <v>203832</v>
      </c>
      <c r="L57" s="17">
        <f t="shared" si="7"/>
        <v>-470068</v>
      </c>
      <c r="M57" s="17">
        <v>203832</v>
      </c>
      <c r="N57" s="19">
        <f t="shared" si="4"/>
        <v>0</v>
      </c>
    </row>
    <row r="58" spans="1:14" ht="31.5" x14ac:dyDescent="0.25">
      <c r="A58" s="16" t="s">
        <v>14</v>
      </c>
      <c r="B58" s="17">
        <v>0</v>
      </c>
      <c r="C58" s="17">
        <v>0</v>
      </c>
      <c r="D58" s="17">
        <v>0</v>
      </c>
      <c r="E58" s="17">
        <v>0</v>
      </c>
      <c r="F58" s="19">
        <v>9108700</v>
      </c>
      <c r="G58" s="19">
        <v>0</v>
      </c>
      <c r="H58" s="17">
        <f t="shared" si="0"/>
        <v>-9108700</v>
      </c>
      <c r="I58" s="17">
        <v>0</v>
      </c>
      <c r="J58" s="17">
        <f t="shared" si="6"/>
        <v>0</v>
      </c>
      <c r="K58" s="17">
        <v>0</v>
      </c>
      <c r="L58" s="17">
        <f t="shared" si="7"/>
        <v>0</v>
      </c>
      <c r="M58" s="17">
        <v>0</v>
      </c>
      <c r="N58" s="19">
        <f t="shared" si="4"/>
        <v>0</v>
      </c>
    </row>
    <row r="59" spans="1:14" ht="31.5" x14ac:dyDescent="0.25">
      <c r="A59" s="16" t="s">
        <v>23</v>
      </c>
      <c r="B59" s="17">
        <v>0</v>
      </c>
      <c r="C59" s="17">
        <v>0</v>
      </c>
      <c r="D59" s="17">
        <v>0</v>
      </c>
      <c r="E59" s="17">
        <v>0</v>
      </c>
      <c r="F59" s="19">
        <v>26648500</v>
      </c>
      <c r="G59" s="19">
        <v>26648461.310000002</v>
      </c>
      <c r="H59" s="17">
        <f t="shared" si="0"/>
        <v>-38.689999997615814</v>
      </c>
      <c r="I59" s="17">
        <f>10392900+16255561.31</f>
        <v>26648461.310000002</v>
      </c>
      <c r="J59" s="17">
        <f t="shared" si="6"/>
        <v>0</v>
      </c>
      <c r="K59" s="17">
        <f>9337212.64+14604359.18</f>
        <v>23941571.82</v>
      </c>
      <c r="L59" s="17">
        <f t="shared" si="7"/>
        <v>-2706889.4900000021</v>
      </c>
      <c r="M59" s="17">
        <f>9337213.09+14604358.73</f>
        <v>23941571.82</v>
      </c>
      <c r="N59" s="19">
        <f t="shared" si="4"/>
        <v>0</v>
      </c>
    </row>
    <row r="60" spans="1:14" ht="31.5" x14ac:dyDescent="0.25">
      <c r="A60" s="16" t="s">
        <v>77</v>
      </c>
      <c r="B60" s="17">
        <v>0</v>
      </c>
      <c r="C60" s="17">
        <v>0</v>
      </c>
      <c r="D60" s="17">
        <v>0</v>
      </c>
      <c r="E60" s="17">
        <v>0</v>
      </c>
      <c r="F60" s="19">
        <v>0</v>
      </c>
      <c r="G60" s="26">
        <f>10977400+23225000+19989100</f>
        <v>54191500</v>
      </c>
      <c r="H60" s="17">
        <f t="shared" si="0"/>
        <v>54191500</v>
      </c>
      <c r="I60" s="17">
        <f>30966500+23225000</f>
        <v>54191500</v>
      </c>
      <c r="J60" s="17">
        <f t="shared" si="6"/>
        <v>0</v>
      </c>
      <c r="K60" s="17">
        <v>0</v>
      </c>
      <c r="L60" s="17">
        <f t="shared" si="7"/>
        <v>-54191500</v>
      </c>
      <c r="M60" s="17">
        <v>0</v>
      </c>
      <c r="N60" s="19">
        <f t="shared" si="4"/>
        <v>0</v>
      </c>
    </row>
    <row r="61" spans="1:14" s="23" customFormat="1" x14ac:dyDescent="0.25">
      <c r="A61" s="22" t="s">
        <v>16</v>
      </c>
      <c r="B61" s="9">
        <f>SUM(B30:B60)</f>
        <v>0</v>
      </c>
      <c r="C61" s="9">
        <f>SUM(C30:C60)</f>
        <v>286223.41999999626</v>
      </c>
      <c r="D61" s="9">
        <f t="shared" ref="D61:E61" si="10">SUM(D30:D60)</f>
        <v>286223.41999999626</v>
      </c>
      <c r="E61" s="9">
        <f t="shared" si="10"/>
        <v>0</v>
      </c>
      <c r="F61" s="9">
        <f>SUM(F30:F60)</f>
        <v>5561783400</v>
      </c>
      <c r="G61" s="9">
        <f>SUM(G30:G60)</f>
        <v>6138196979.6600008</v>
      </c>
      <c r="H61" s="9">
        <f t="shared" si="0"/>
        <v>576413579.6600008</v>
      </c>
      <c r="I61" s="9">
        <f>SUM(I30:I60)</f>
        <v>6167100179.6600008</v>
      </c>
      <c r="J61" s="9">
        <f t="shared" si="6"/>
        <v>28903200</v>
      </c>
      <c r="K61" s="9">
        <f>SUM(K30:K60)</f>
        <v>4521061946.5300007</v>
      </c>
      <c r="L61" s="9">
        <f t="shared" si="7"/>
        <v>-1646038233.1300001</v>
      </c>
      <c r="M61" s="9">
        <f>SUM(M30:M60)</f>
        <v>4518975155.920001</v>
      </c>
      <c r="N61" s="8">
        <f t="shared" si="4"/>
        <v>2086790.6099996567</v>
      </c>
    </row>
    <row r="62" spans="1:14" ht="15.75" customHeight="1" x14ac:dyDescent="0.25">
      <c r="A62" s="34" t="s">
        <v>17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</row>
    <row r="63" spans="1:14" s="23" customFormat="1" ht="31.5" x14ac:dyDescent="0.25">
      <c r="A63" s="27" t="s">
        <v>62</v>
      </c>
      <c r="B63" s="17">
        <v>0</v>
      </c>
      <c r="C63" s="17">
        <v>0</v>
      </c>
      <c r="D63" s="17">
        <v>0</v>
      </c>
      <c r="E63" s="17">
        <v>0</v>
      </c>
      <c r="F63" s="19">
        <v>4960300</v>
      </c>
      <c r="G63" s="19">
        <f>4960300-295000</f>
        <v>4665300</v>
      </c>
      <c r="H63" s="17">
        <f t="shared" si="0"/>
        <v>-295000</v>
      </c>
      <c r="I63" s="17">
        <v>4665300</v>
      </c>
      <c r="J63" s="17">
        <f t="shared" si="6"/>
        <v>0</v>
      </c>
      <c r="K63" s="17">
        <v>3894062.62</v>
      </c>
      <c r="L63" s="17">
        <f t="shared" si="7"/>
        <v>-771237.37999999989</v>
      </c>
      <c r="M63" s="17">
        <v>3894062.62</v>
      </c>
      <c r="N63" s="19">
        <f>B63+C63-D63+E63+K63-M63</f>
        <v>0</v>
      </c>
    </row>
    <row r="64" spans="1:14" s="23" customFormat="1" ht="94.5" x14ac:dyDescent="0.25">
      <c r="A64" s="27" t="s">
        <v>74</v>
      </c>
      <c r="B64" s="17">
        <v>9800.0400000000009</v>
      </c>
      <c r="C64" s="17">
        <v>0</v>
      </c>
      <c r="D64" s="17">
        <v>9800.0400000000009</v>
      </c>
      <c r="E64" s="17">
        <v>0</v>
      </c>
      <c r="F64" s="19">
        <v>0</v>
      </c>
      <c r="G64" s="19">
        <v>336000</v>
      </c>
      <c r="H64" s="17">
        <f t="shared" si="0"/>
        <v>336000</v>
      </c>
      <c r="I64" s="17">
        <v>336000</v>
      </c>
      <c r="J64" s="17">
        <f t="shared" si="6"/>
        <v>0</v>
      </c>
      <c r="K64" s="17">
        <v>94050</v>
      </c>
      <c r="L64" s="17">
        <f t="shared" si="7"/>
        <v>-241950</v>
      </c>
      <c r="M64" s="17">
        <v>94050</v>
      </c>
      <c r="N64" s="19">
        <f t="shared" ref="N64:N74" si="11">B64+C64-D64+E64+K64-M64</f>
        <v>0</v>
      </c>
    </row>
    <row r="65" spans="1:14" ht="63" x14ac:dyDescent="0.25">
      <c r="A65" s="27" t="s">
        <v>47</v>
      </c>
      <c r="B65" s="17">
        <v>0</v>
      </c>
      <c r="C65" s="17">
        <v>0</v>
      </c>
      <c r="D65" s="17">
        <v>0</v>
      </c>
      <c r="E65" s="17">
        <v>0</v>
      </c>
      <c r="F65" s="19">
        <v>90150500</v>
      </c>
      <c r="G65" s="19">
        <v>90150500</v>
      </c>
      <c r="H65" s="17">
        <f t="shared" si="0"/>
        <v>0</v>
      </c>
      <c r="I65" s="17">
        <v>90150500</v>
      </c>
      <c r="J65" s="17">
        <f t="shared" si="6"/>
        <v>0</v>
      </c>
      <c r="K65" s="17">
        <v>64639145.170000002</v>
      </c>
      <c r="L65" s="17">
        <f t="shared" si="7"/>
        <v>-25511354.829999998</v>
      </c>
      <c r="M65" s="17">
        <v>64639145.170000002</v>
      </c>
      <c r="N65" s="19">
        <f t="shared" si="11"/>
        <v>0</v>
      </c>
    </row>
    <row r="66" spans="1:14" ht="48.75" customHeight="1" x14ac:dyDescent="0.25">
      <c r="A66" s="27" t="s">
        <v>66</v>
      </c>
      <c r="B66" s="17">
        <v>0</v>
      </c>
      <c r="C66" s="17">
        <v>0</v>
      </c>
      <c r="D66" s="17">
        <v>0</v>
      </c>
      <c r="E66" s="17">
        <v>0</v>
      </c>
      <c r="F66" s="19">
        <v>0</v>
      </c>
      <c r="G66" s="17">
        <f>460000+1489986+1600000</f>
        <v>3549986</v>
      </c>
      <c r="H66" s="17">
        <f t="shared" si="0"/>
        <v>3549986</v>
      </c>
      <c r="I66" s="17">
        <f>460000+1489986+1600000</f>
        <v>3549986</v>
      </c>
      <c r="J66" s="17">
        <f t="shared" si="6"/>
        <v>0</v>
      </c>
      <c r="K66" s="17">
        <f>310000+1489563+1600000</f>
        <v>3399563</v>
      </c>
      <c r="L66" s="17">
        <f t="shared" si="7"/>
        <v>-150423</v>
      </c>
      <c r="M66" s="17">
        <f>1489563+1600000+310000</f>
        <v>3399563</v>
      </c>
      <c r="N66" s="19">
        <f t="shared" si="11"/>
        <v>0</v>
      </c>
    </row>
    <row r="67" spans="1:14" s="23" customFormat="1" x14ac:dyDescent="0.25">
      <c r="A67" s="22" t="s">
        <v>18</v>
      </c>
      <c r="B67" s="9">
        <f>SUM(B63:B66)</f>
        <v>9800.0400000000009</v>
      </c>
      <c r="C67" s="9">
        <f>SUM(C63:C66)</f>
        <v>0</v>
      </c>
      <c r="D67" s="9">
        <f>SUM(D63:D66)</f>
        <v>9800.0400000000009</v>
      </c>
      <c r="E67" s="9">
        <f>SUM(E63:E66)</f>
        <v>0</v>
      </c>
      <c r="F67" s="9">
        <f>SUM(F63:F66)</f>
        <v>95110800</v>
      </c>
      <c r="G67" s="9">
        <f>SUM(G63:G66)</f>
        <v>98701786</v>
      </c>
      <c r="H67" s="9">
        <f t="shared" si="0"/>
        <v>3590986</v>
      </c>
      <c r="I67" s="9">
        <f>SUM(I63:I66)</f>
        <v>98701786</v>
      </c>
      <c r="J67" s="9">
        <f t="shared" si="6"/>
        <v>0</v>
      </c>
      <c r="K67" s="9">
        <f>SUM(K63:K66)</f>
        <v>72026820.790000007</v>
      </c>
      <c r="L67" s="9">
        <f t="shared" si="7"/>
        <v>-26674965.209999993</v>
      </c>
      <c r="M67" s="9">
        <f>SUM(M63:M66)</f>
        <v>72026820.790000007</v>
      </c>
      <c r="N67" s="8">
        <f t="shared" si="11"/>
        <v>0</v>
      </c>
    </row>
    <row r="68" spans="1:14" x14ac:dyDescent="0.25">
      <c r="A68" s="34" t="s">
        <v>3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</row>
    <row r="69" spans="1:14" s="28" customFormat="1" ht="63" x14ac:dyDescent="0.25">
      <c r="A69" s="16" t="s">
        <v>53</v>
      </c>
      <c r="B69" s="17">
        <v>0</v>
      </c>
      <c r="C69" s="17">
        <v>0</v>
      </c>
      <c r="D69" s="17">
        <v>0</v>
      </c>
      <c r="E69" s="17">
        <v>0</v>
      </c>
      <c r="F69" s="17">
        <v>200122000</v>
      </c>
      <c r="G69" s="17">
        <v>258246000</v>
      </c>
      <c r="H69" s="17">
        <f t="shared" si="0"/>
        <v>58124000</v>
      </c>
      <c r="I69" s="17">
        <v>258246000</v>
      </c>
      <c r="J69" s="17">
        <f t="shared" si="6"/>
        <v>0</v>
      </c>
      <c r="K69" s="17">
        <v>140972400</v>
      </c>
      <c r="L69" s="17">
        <f t="shared" si="7"/>
        <v>-117273600</v>
      </c>
      <c r="M69" s="17">
        <v>140972400</v>
      </c>
      <c r="N69" s="19">
        <f t="shared" si="11"/>
        <v>0</v>
      </c>
    </row>
    <row r="70" spans="1:14" s="28" customFormat="1" ht="63" x14ac:dyDescent="0.25">
      <c r="A70" s="21" t="s">
        <v>79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8">
        <v>6162600</v>
      </c>
      <c r="H70" s="17">
        <f t="shared" si="0"/>
        <v>6162600</v>
      </c>
      <c r="I70" s="18">
        <v>6162600</v>
      </c>
      <c r="J70" s="17">
        <f t="shared" si="6"/>
        <v>0</v>
      </c>
      <c r="K70" s="18">
        <v>6162600</v>
      </c>
      <c r="L70" s="17">
        <f t="shared" ref="L70:L72" si="12">K70-I70</f>
        <v>0</v>
      </c>
      <c r="M70" s="17">
        <v>6162598.3899999997</v>
      </c>
      <c r="N70" s="19">
        <f t="shared" ref="N70:N72" si="13">B70+C70-D70+E70+K70-M70</f>
        <v>1.6100000003352761</v>
      </c>
    </row>
    <row r="71" spans="1:14" s="28" customFormat="1" ht="47.25" x14ac:dyDescent="0.25">
      <c r="A71" s="21" t="s">
        <v>80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8">
        <v>10271600</v>
      </c>
      <c r="H71" s="17">
        <f t="shared" si="0"/>
        <v>10271600</v>
      </c>
      <c r="I71" s="18">
        <v>10271600</v>
      </c>
      <c r="J71" s="17">
        <f t="shared" si="6"/>
        <v>0</v>
      </c>
      <c r="K71" s="18">
        <v>10271600</v>
      </c>
      <c r="L71" s="17">
        <f t="shared" si="12"/>
        <v>0</v>
      </c>
      <c r="M71" s="17">
        <v>10271600</v>
      </c>
      <c r="N71" s="19">
        <f t="shared" si="13"/>
        <v>0</v>
      </c>
    </row>
    <row r="72" spans="1:14" s="28" customFormat="1" ht="63" x14ac:dyDescent="0.25">
      <c r="A72" s="21" t="s">
        <v>81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8">
        <v>5394000</v>
      </c>
      <c r="H72" s="17">
        <f t="shared" si="0"/>
        <v>5394000</v>
      </c>
      <c r="I72" s="18">
        <v>5394000</v>
      </c>
      <c r="J72" s="17">
        <f t="shared" si="6"/>
        <v>0</v>
      </c>
      <c r="K72" s="17">
        <v>5394000</v>
      </c>
      <c r="L72" s="17">
        <f t="shared" si="12"/>
        <v>0</v>
      </c>
      <c r="M72" s="17">
        <v>5394000</v>
      </c>
      <c r="N72" s="19">
        <f t="shared" si="13"/>
        <v>0</v>
      </c>
    </row>
    <row r="73" spans="1:14" s="30" customFormat="1" x14ac:dyDescent="0.25">
      <c r="A73" s="29" t="s">
        <v>19</v>
      </c>
      <c r="B73" s="9">
        <f>SUM(B69)</f>
        <v>0</v>
      </c>
      <c r="C73" s="9">
        <f>SUM(C69)</f>
        <v>0</v>
      </c>
      <c r="D73" s="9">
        <f>SUM(D69)</f>
        <v>0</v>
      </c>
      <c r="E73" s="9">
        <f>SUM(E69)</f>
        <v>0</v>
      </c>
      <c r="F73" s="9">
        <f>SUM(F69)</f>
        <v>200122000</v>
      </c>
      <c r="G73" s="9">
        <f>SUM(G69:G72)</f>
        <v>280074200</v>
      </c>
      <c r="H73" s="9">
        <f t="shared" si="0"/>
        <v>79952200</v>
      </c>
      <c r="I73" s="9">
        <f>SUM(I69:I72)</f>
        <v>280074200</v>
      </c>
      <c r="J73" s="9">
        <f t="shared" si="6"/>
        <v>0</v>
      </c>
      <c r="K73" s="9">
        <f>SUM(K69:K72)</f>
        <v>162800600</v>
      </c>
      <c r="L73" s="9">
        <f t="shared" si="7"/>
        <v>-117273600</v>
      </c>
      <c r="M73" s="9">
        <f>SUM(M69:M72)</f>
        <v>162800598.38999999</v>
      </c>
      <c r="N73" s="8">
        <f t="shared" si="11"/>
        <v>1.6100000143051147</v>
      </c>
    </row>
    <row r="74" spans="1:14" s="23" customFormat="1" x14ac:dyDescent="0.25">
      <c r="A74" s="22" t="s">
        <v>20</v>
      </c>
      <c r="B74" s="8">
        <f>B73+B67+B61+B28</f>
        <v>20683262.120000001</v>
      </c>
      <c r="C74" s="8">
        <f>C73+C67+C61+C28</f>
        <v>286288.41999999626</v>
      </c>
      <c r="D74" s="8">
        <f>D73+D67+D61+D28</f>
        <v>20969550.539999999</v>
      </c>
      <c r="E74" s="8">
        <f>E73+E67+E61+E28</f>
        <v>0</v>
      </c>
      <c r="F74" s="8">
        <f>F73+F67+F61+F28</f>
        <v>9948863500</v>
      </c>
      <c r="G74" s="8">
        <f>G73+G67+G61+G28</f>
        <v>10757876365.66</v>
      </c>
      <c r="H74" s="9">
        <f t="shared" si="0"/>
        <v>809012865.65999985</v>
      </c>
      <c r="I74" s="8">
        <f>I73+I67+I61+I28</f>
        <v>10796452365.66</v>
      </c>
      <c r="J74" s="9">
        <f t="shared" si="6"/>
        <v>38576000</v>
      </c>
      <c r="K74" s="8">
        <f>K73+K67+K61+K28</f>
        <v>7406842332.1500015</v>
      </c>
      <c r="L74" s="9">
        <f t="shared" si="7"/>
        <v>-3389610033.5099983</v>
      </c>
      <c r="M74" s="8">
        <f>M73+M67+M61+M28</f>
        <v>7404755539.9300022</v>
      </c>
      <c r="N74" s="8">
        <f>B74+C74-D74+E74+K74-M74</f>
        <v>2086792.2199993134</v>
      </c>
    </row>
    <row r="75" spans="1:14" x14ac:dyDescent="0.25">
      <c r="A75" s="31"/>
    </row>
  </sheetData>
  <autoFilter ref="A5:N74"/>
  <mergeCells count="5">
    <mergeCell ref="A68:N68"/>
    <mergeCell ref="A29:N29"/>
    <mergeCell ref="A62:N62"/>
    <mergeCell ref="A6:N6"/>
    <mergeCell ref="A2:N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2023-08-22T09:58:42Z</cp:lastPrinted>
  <dcterms:created xsi:type="dcterms:W3CDTF">2013-11-25T11:49:42Z</dcterms:created>
  <dcterms:modified xsi:type="dcterms:W3CDTF">2023-11-07T05:52:43Z</dcterms:modified>
</cp:coreProperties>
</file>