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ДИНА\Годовой за 2022 год\Приложения\"/>
    </mc:Choice>
  </mc:AlternateContent>
  <bookViews>
    <workbookView xWindow="9585" yWindow="525" windowWidth="9720" windowHeight="11880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_FilterDatabase" localSheetId="0" hidden="1">доходы!$A$8:$S$87</definedName>
    <definedName name="_xlnm.Print_Titles" localSheetId="0">доходы!$6:$8</definedName>
    <definedName name="_xlnm.Print_Area" localSheetId="0">доходы!$A$1:$S$85</definedName>
  </definedNames>
  <calcPr calcId="152511"/>
</workbook>
</file>

<file path=xl/calcChain.xml><?xml version="1.0" encoding="utf-8"?>
<calcChain xmlns="http://schemas.openxmlformats.org/spreadsheetml/2006/main">
  <c r="O12" i="5" l="1"/>
  <c r="O27" i="5"/>
  <c r="Q77" i="5" l="1"/>
  <c r="K75" i="5"/>
  <c r="Q10" i="5" l="1"/>
  <c r="R10" i="5"/>
  <c r="Q11" i="5"/>
  <c r="R11" i="5"/>
  <c r="Q13" i="5"/>
  <c r="R13" i="5"/>
  <c r="Q14" i="5"/>
  <c r="R14" i="5"/>
  <c r="Q15" i="5"/>
  <c r="R15" i="5"/>
  <c r="S15" i="5"/>
  <c r="Q16" i="5"/>
  <c r="R16" i="5"/>
  <c r="S16" i="5"/>
  <c r="Q18" i="5"/>
  <c r="R18" i="5"/>
  <c r="S18" i="5"/>
  <c r="Q19" i="5"/>
  <c r="R19" i="5"/>
  <c r="Q20" i="5"/>
  <c r="R20" i="5"/>
  <c r="Q22" i="5"/>
  <c r="R22" i="5"/>
  <c r="S22" i="5"/>
  <c r="Q23" i="5"/>
  <c r="R23" i="5"/>
  <c r="S23" i="5"/>
  <c r="Q24" i="5"/>
  <c r="R24" i="5"/>
  <c r="S24" i="5"/>
  <c r="R25" i="5"/>
  <c r="S25" i="5"/>
  <c r="Q28" i="5"/>
  <c r="R28" i="5"/>
  <c r="S28" i="5"/>
  <c r="Q30" i="5"/>
  <c r="R30" i="5"/>
  <c r="S30" i="5"/>
  <c r="Q31" i="5"/>
  <c r="R31" i="5"/>
  <c r="S31" i="5"/>
  <c r="Q32" i="5"/>
  <c r="R32" i="5"/>
  <c r="S32" i="5"/>
  <c r="Q33" i="5"/>
  <c r="R33" i="5"/>
  <c r="S33" i="5"/>
  <c r="Q34" i="5"/>
  <c r="R34" i="5"/>
  <c r="S34" i="5"/>
  <c r="Q36" i="5"/>
  <c r="R36" i="5"/>
  <c r="Q37" i="5"/>
  <c r="R37" i="5"/>
  <c r="Q39" i="5"/>
  <c r="R39" i="5"/>
  <c r="S39" i="5"/>
  <c r="Q40" i="5"/>
  <c r="R40" i="5"/>
  <c r="Q41" i="5"/>
  <c r="R41" i="5"/>
  <c r="S41" i="5"/>
  <c r="Q43" i="5"/>
  <c r="R43" i="5"/>
  <c r="S43" i="5"/>
  <c r="Q44" i="5"/>
  <c r="R44" i="5"/>
  <c r="S44" i="5"/>
  <c r="Q45" i="5"/>
  <c r="R45" i="5"/>
  <c r="Q46" i="5"/>
  <c r="R46" i="5"/>
  <c r="S46" i="5"/>
  <c r="Q47" i="5"/>
  <c r="R47" i="5"/>
  <c r="S47" i="5"/>
  <c r="Q48" i="5"/>
  <c r="R48" i="5"/>
  <c r="S48" i="5"/>
  <c r="Q49" i="5"/>
  <c r="R49" i="5"/>
  <c r="Q50" i="5"/>
  <c r="R50" i="5"/>
  <c r="S50" i="5"/>
  <c r="R51" i="5"/>
  <c r="S51" i="5"/>
  <c r="Q52" i="5"/>
  <c r="R52" i="5"/>
  <c r="S52" i="5"/>
  <c r="Q53" i="5"/>
  <c r="R53" i="5"/>
  <c r="S53" i="5"/>
  <c r="Q54" i="5"/>
  <c r="R54" i="5"/>
  <c r="S54" i="5"/>
  <c r="Q55" i="5"/>
  <c r="R55" i="5"/>
  <c r="S55" i="5"/>
  <c r="Q56" i="5"/>
  <c r="R56" i="5"/>
  <c r="Q57" i="5"/>
  <c r="R57" i="5"/>
  <c r="S57" i="5"/>
  <c r="R58" i="5"/>
  <c r="S58" i="5"/>
  <c r="Q59" i="5"/>
  <c r="R59" i="5"/>
  <c r="Q60" i="5"/>
  <c r="R60" i="5"/>
  <c r="S60" i="5"/>
  <c r="Q61" i="5"/>
  <c r="R61" i="5"/>
  <c r="Q62" i="5"/>
  <c r="R62" i="5"/>
  <c r="S62" i="5"/>
  <c r="Q63" i="5"/>
  <c r="R63" i="5"/>
  <c r="Q64" i="5"/>
  <c r="R64" i="5"/>
  <c r="Q65" i="5"/>
  <c r="R65" i="5"/>
  <c r="R66" i="5"/>
  <c r="S66" i="5"/>
  <c r="R67" i="5"/>
  <c r="S67" i="5"/>
  <c r="R68" i="5"/>
  <c r="Q69" i="5"/>
  <c r="R69" i="5"/>
  <c r="S69" i="5"/>
  <c r="Q70" i="5"/>
  <c r="R70" i="5"/>
  <c r="S70" i="5"/>
  <c r="R72" i="5"/>
  <c r="S72" i="5"/>
  <c r="R73" i="5"/>
  <c r="S73" i="5"/>
  <c r="Q74" i="5"/>
  <c r="R74" i="5"/>
  <c r="S74" i="5"/>
  <c r="Q76" i="5"/>
  <c r="R76" i="5"/>
  <c r="R77" i="5"/>
  <c r="Q78" i="5"/>
  <c r="R78" i="5"/>
  <c r="Q79" i="5"/>
  <c r="R79" i="5"/>
  <c r="R80" i="5"/>
  <c r="S80" i="5"/>
  <c r="Q81" i="5"/>
  <c r="R81" i="5"/>
  <c r="S81" i="5"/>
  <c r="Q82" i="5"/>
  <c r="R82" i="5"/>
  <c r="S82" i="5"/>
  <c r="Q83" i="5"/>
  <c r="R83" i="5"/>
  <c r="Q84" i="5"/>
  <c r="R84" i="5"/>
  <c r="N10" i="5"/>
  <c r="N11" i="5"/>
  <c r="N13" i="5"/>
  <c r="N14" i="5"/>
  <c r="N15" i="5"/>
  <c r="N16" i="5"/>
  <c r="N18" i="5"/>
  <c r="N19" i="5"/>
  <c r="N20" i="5"/>
  <c r="N22" i="5"/>
  <c r="N23" i="5"/>
  <c r="N24" i="5"/>
  <c r="N25" i="5"/>
  <c r="N28" i="5"/>
  <c r="N30" i="5"/>
  <c r="N31" i="5"/>
  <c r="N32" i="5"/>
  <c r="N33" i="5"/>
  <c r="N34" i="5"/>
  <c r="N36" i="5"/>
  <c r="N37" i="5"/>
  <c r="N39" i="5"/>
  <c r="N40" i="5"/>
  <c r="N41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2" i="5"/>
  <c r="N73" i="5"/>
  <c r="N74" i="5"/>
  <c r="N76" i="5"/>
  <c r="N77" i="5"/>
  <c r="N78" i="5"/>
  <c r="N79" i="5"/>
  <c r="N80" i="5"/>
  <c r="N81" i="5"/>
  <c r="N82" i="5"/>
  <c r="N83" i="5"/>
  <c r="N84" i="5"/>
  <c r="L10" i="5"/>
  <c r="L11" i="5"/>
  <c r="L13" i="5"/>
  <c r="L14" i="5"/>
  <c r="L15" i="5"/>
  <c r="L16" i="5"/>
  <c r="L18" i="5"/>
  <c r="L19" i="5"/>
  <c r="L20" i="5"/>
  <c r="L22" i="5"/>
  <c r="L23" i="5"/>
  <c r="L24" i="5"/>
  <c r="L25" i="5"/>
  <c r="L28" i="5"/>
  <c r="L30" i="5"/>
  <c r="L31" i="5"/>
  <c r="L32" i="5"/>
  <c r="L33" i="5"/>
  <c r="L34" i="5"/>
  <c r="L36" i="5"/>
  <c r="L37" i="5"/>
  <c r="L39" i="5"/>
  <c r="L40" i="5"/>
  <c r="L41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2" i="5"/>
  <c r="L73" i="5"/>
  <c r="L74" i="5"/>
  <c r="L76" i="5"/>
  <c r="L77" i="5"/>
  <c r="L78" i="5"/>
  <c r="L79" i="5"/>
  <c r="L80" i="5"/>
  <c r="L81" i="5"/>
  <c r="L82" i="5"/>
  <c r="L83" i="5"/>
  <c r="L84" i="5"/>
  <c r="E10" i="5"/>
  <c r="E11" i="5"/>
  <c r="E13" i="5"/>
  <c r="E14" i="5"/>
  <c r="E15" i="5"/>
  <c r="E16" i="5"/>
  <c r="E18" i="5"/>
  <c r="E19" i="5"/>
  <c r="E20" i="5"/>
  <c r="E22" i="5"/>
  <c r="E23" i="5"/>
  <c r="E24" i="5"/>
  <c r="E25" i="5"/>
  <c r="E28" i="5"/>
  <c r="E30" i="5"/>
  <c r="E31" i="5"/>
  <c r="E32" i="5"/>
  <c r="E33" i="5"/>
  <c r="E34" i="5"/>
  <c r="E36" i="5"/>
  <c r="E37" i="5"/>
  <c r="E39" i="5"/>
  <c r="E40" i="5"/>
  <c r="E41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2" i="5"/>
  <c r="E73" i="5"/>
  <c r="E74" i="5"/>
  <c r="E76" i="5"/>
  <c r="E77" i="5"/>
  <c r="E78" i="5"/>
  <c r="E79" i="5"/>
  <c r="E80" i="5"/>
  <c r="E81" i="5"/>
  <c r="E82" i="5"/>
  <c r="E83" i="5"/>
  <c r="E84" i="5"/>
  <c r="H15" i="5"/>
  <c r="H16" i="5"/>
  <c r="H18" i="5"/>
  <c r="H22" i="5"/>
  <c r="H23" i="5"/>
  <c r="H24" i="5"/>
  <c r="H28" i="5"/>
  <c r="H31" i="5"/>
  <c r="H32" i="5"/>
  <c r="H33" i="5"/>
  <c r="H34" i="5"/>
  <c r="H39" i="5"/>
  <c r="H41" i="5"/>
  <c r="H43" i="5"/>
  <c r="H44" i="5"/>
  <c r="H46" i="5"/>
  <c r="H47" i="5"/>
  <c r="H48" i="5"/>
  <c r="H51" i="5"/>
  <c r="H52" i="5"/>
  <c r="H53" i="5"/>
  <c r="H54" i="5"/>
  <c r="H55" i="5"/>
  <c r="H58" i="5"/>
  <c r="H66" i="5"/>
  <c r="H69" i="5"/>
  <c r="H70" i="5"/>
  <c r="H73" i="5"/>
  <c r="H74" i="5"/>
  <c r="H81" i="5"/>
  <c r="O42" i="5" l="1"/>
  <c r="O38" i="5"/>
  <c r="J29" i="5"/>
  <c r="J75" i="5" l="1"/>
  <c r="J42" i="5"/>
  <c r="F45" i="5"/>
  <c r="S45" i="5" s="1"/>
  <c r="J35" i="5"/>
  <c r="K71" i="5"/>
  <c r="K42" i="5"/>
  <c r="R42" i="5" s="1"/>
  <c r="K38" i="5"/>
  <c r="R38" i="5" s="1"/>
  <c r="K35" i="5"/>
  <c r="K29" i="5"/>
  <c r="K21" i="5"/>
  <c r="K17" i="5"/>
  <c r="K12" i="5"/>
  <c r="R29" i="5" l="1"/>
  <c r="Q29" i="5"/>
  <c r="L29" i="5"/>
  <c r="K27" i="5"/>
  <c r="K26" i="5" s="1"/>
  <c r="Q42" i="5"/>
  <c r="L35" i="5"/>
  <c r="L75" i="5"/>
  <c r="N71" i="5"/>
  <c r="Q38" i="5"/>
  <c r="L42" i="5"/>
  <c r="K9" i="5"/>
  <c r="J27" i="5"/>
  <c r="J17" i="5"/>
  <c r="L17" i="5" s="1"/>
  <c r="L27" i="5" l="1"/>
  <c r="Q27" i="5"/>
  <c r="R27" i="5"/>
  <c r="K85" i="5"/>
  <c r="I42" i="5"/>
  <c r="N42" i="5" s="1"/>
  <c r="C42" i="5"/>
  <c r="B42" i="5"/>
  <c r="F61" i="5"/>
  <c r="I29" i="5"/>
  <c r="N29" i="5" s="1"/>
  <c r="I21" i="5"/>
  <c r="N21" i="5" s="1"/>
  <c r="H61" i="5" l="1"/>
  <c r="S61" i="5"/>
  <c r="M11" i="5"/>
  <c r="M15" i="5"/>
  <c r="M19" i="5"/>
  <c r="M23" i="5"/>
  <c r="M31" i="5"/>
  <c r="M39" i="5"/>
  <c r="M43" i="5"/>
  <c r="M47" i="5"/>
  <c r="M51" i="5"/>
  <c r="M55" i="5"/>
  <c r="M59" i="5"/>
  <c r="M63" i="5"/>
  <c r="M67" i="5"/>
  <c r="M79" i="5"/>
  <c r="M83" i="5"/>
  <c r="M13" i="5"/>
  <c r="M25" i="5"/>
  <c r="M29" i="5"/>
  <c r="M33" i="5"/>
  <c r="M37" i="5"/>
  <c r="M41" i="5"/>
  <c r="M45" i="5"/>
  <c r="M49" i="5"/>
  <c r="M53" i="5"/>
  <c r="M57" i="5"/>
  <c r="M61" i="5"/>
  <c r="M65" i="5"/>
  <c r="M69" i="5"/>
  <c r="M73" i="5"/>
  <c r="M77" i="5"/>
  <c r="M81" i="5"/>
  <c r="M85" i="5"/>
  <c r="M14" i="5"/>
  <c r="M22" i="5"/>
  <c r="M30" i="5"/>
  <c r="M46" i="5"/>
  <c r="M54" i="5"/>
  <c r="M62" i="5"/>
  <c r="M70" i="5"/>
  <c r="M78" i="5"/>
  <c r="M16" i="5"/>
  <c r="M24" i="5"/>
  <c r="M32" i="5"/>
  <c r="M40" i="5"/>
  <c r="M48" i="5"/>
  <c r="M56" i="5"/>
  <c r="M64" i="5"/>
  <c r="M72" i="5"/>
  <c r="M80" i="5"/>
  <c r="M10" i="5"/>
  <c r="M18" i="5"/>
  <c r="M34" i="5"/>
  <c r="M50" i="5"/>
  <c r="M58" i="5"/>
  <c r="M66" i="5"/>
  <c r="M74" i="5"/>
  <c r="M82" i="5"/>
  <c r="M20" i="5"/>
  <c r="M28" i="5"/>
  <c r="M36" i="5"/>
  <c r="M44" i="5"/>
  <c r="M52" i="5"/>
  <c r="M60" i="5"/>
  <c r="M68" i="5"/>
  <c r="M76" i="5"/>
  <c r="M84" i="5"/>
  <c r="M27" i="5"/>
  <c r="M35" i="5"/>
  <c r="M38" i="5"/>
  <c r="M21" i="5"/>
  <c r="M42" i="5"/>
  <c r="M71" i="5"/>
  <c r="M17" i="5"/>
  <c r="M75" i="5"/>
  <c r="M12" i="5"/>
  <c r="E42" i="5"/>
  <c r="M26" i="5"/>
  <c r="F84" i="5"/>
  <c r="S84" i="5" s="1"/>
  <c r="F83" i="5"/>
  <c r="F79" i="5"/>
  <c r="F78" i="5"/>
  <c r="F77" i="5"/>
  <c r="F76" i="5"/>
  <c r="F71" i="5"/>
  <c r="F68" i="5"/>
  <c r="F65" i="5"/>
  <c r="F64" i="5"/>
  <c r="F63" i="5"/>
  <c r="F59" i="5"/>
  <c r="F56" i="5"/>
  <c r="F49" i="5"/>
  <c r="F40" i="5"/>
  <c r="F37" i="5"/>
  <c r="F36" i="5"/>
  <c r="F29" i="5"/>
  <c r="F21" i="5"/>
  <c r="F20" i="5"/>
  <c r="F19" i="5"/>
  <c r="F14" i="5"/>
  <c r="F13" i="5"/>
  <c r="F11" i="5"/>
  <c r="F10" i="5"/>
  <c r="C71" i="5"/>
  <c r="C38" i="5"/>
  <c r="C35" i="5"/>
  <c r="C29" i="5"/>
  <c r="C17" i="5"/>
  <c r="B38" i="5"/>
  <c r="B35" i="5"/>
  <c r="B29" i="5"/>
  <c r="B21" i="5"/>
  <c r="B17" i="5"/>
  <c r="H78" i="5" l="1"/>
  <c r="S78" i="5"/>
  <c r="S10" i="5"/>
  <c r="H10" i="5"/>
  <c r="H36" i="5"/>
  <c r="S36" i="5"/>
  <c r="S77" i="5"/>
  <c r="H77" i="5"/>
  <c r="S37" i="5"/>
  <c r="H37" i="5"/>
  <c r="H59" i="5"/>
  <c r="S59" i="5"/>
  <c r="H13" i="5"/>
  <c r="S13" i="5"/>
  <c r="S40" i="5"/>
  <c r="H40" i="5"/>
  <c r="S63" i="5"/>
  <c r="H63" i="5"/>
  <c r="S79" i="5"/>
  <c r="H79" i="5"/>
  <c r="E29" i="5"/>
  <c r="S19" i="5"/>
  <c r="H19" i="5"/>
  <c r="S56" i="5"/>
  <c r="H56" i="5"/>
  <c r="S65" i="5"/>
  <c r="H65" i="5"/>
  <c r="H84" i="5"/>
  <c r="H11" i="5"/>
  <c r="S11" i="5"/>
  <c r="S20" i="5"/>
  <c r="H20" i="5"/>
  <c r="S68" i="5"/>
  <c r="H68" i="5"/>
  <c r="S14" i="5"/>
  <c r="H14" i="5"/>
  <c r="H29" i="5"/>
  <c r="S29" i="5"/>
  <c r="S49" i="5"/>
  <c r="H49" i="5"/>
  <c r="H64" i="5"/>
  <c r="S64" i="5"/>
  <c r="S76" i="5"/>
  <c r="H76" i="5"/>
  <c r="S83" i="5"/>
  <c r="H83" i="5"/>
  <c r="E35" i="5"/>
  <c r="H71" i="5"/>
  <c r="E17" i="5"/>
  <c r="E38" i="5"/>
  <c r="E71" i="5"/>
  <c r="B27" i="5"/>
  <c r="B26" i="5" s="1"/>
  <c r="B9" i="5" s="1"/>
  <c r="B75" i="5" s="1"/>
  <c r="F42" i="5"/>
  <c r="F38" i="5"/>
  <c r="C27" i="5"/>
  <c r="F17" i="5"/>
  <c r="F35" i="5"/>
  <c r="F27" i="5"/>
  <c r="C21" i="5"/>
  <c r="C12" i="5" l="1"/>
  <c r="C9" i="5" s="1"/>
  <c r="E27" i="5"/>
  <c r="E21" i="5"/>
  <c r="H38" i="5"/>
  <c r="S38" i="5"/>
  <c r="H21" i="5"/>
  <c r="F12" i="5"/>
  <c r="H27" i="5"/>
  <c r="S27" i="5"/>
  <c r="H35" i="5"/>
  <c r="H42" i="5"/>
  <c r="S42" i="5"/>
  <c r="H17" i="5"/>
  <c r="B85" i="5"/>
  <c r="C75" i="5"/>
  <c r="F26" i="5"/>
  <c r="C26" i="5"/>
  <c r="O71" i="5"/>
  <c r="J71" i="5"/>
  <c r="L71" i="5" s="1"/>
  <c r="H26" i="5" l="1"/>
  <c r="Q71" i="5"/>
  <c r="R71" i="5"/>
  <c r="S71" i="5"/>
  <c r="H12" i="5"/>
  <c r="E75" i="5"/>
  <c r="E26" i="5"/>
  <c r="E12" i="5"/>
  <c r="O35" i="5"/>
  <c r="C85" i="5"/>
  <c r="D26" i="5" s="1"/>
  <c r="F9" i="5"/>
  <c r="D11" i="5" l="1"/>
  <c r="D15" i="5"/>
  <c r="D19" i="5"/>
  <c r="D23" i="5"/>
  <c r="D31" i="5"/>
  <c r="D39" i="5"/>
  <c r="D43" i="5"/>
  <c r="D47" i="5"/>
  <c r="D51" i="5"/>
  <c r="D55" i="5"/>
  <c r="D59" i="5"/>
  <c r="D63" i="5"/>
  <c r="D67" i="5"/>
  <c r="D79" i="5"/>
  <c r="D83" i="5"/>
  <c r="E85" i="5"/>
  <c r="D13" i="5"/>
  <c r="D25" i="5"/>
  <c r="D29" i="5"/>
  <c r="D33" i="5"/>
  <c r="D37" i="5"/>
  <c r="D41" i="5"/>
  <c r="D45" i="5"/>
  <c r="D49" i="5"/>
  <c r="D53" i="5"/>
  <c r="D57" i="5"/>
  <c r="D61" i="5"/>
  <c r="D65" i="5"/>
  <c r="D69" i="5"/>
  <c r="D73" i="5"/>
  <c r="D77" i="5"/>
  <c r="D81" i="5"/>
  <c r="D85" i="5"/>
  <c r="D20" i="5"/>
  <c r="D36" i="5"/>
  <c r="D84" i="5"/>
  <c r="D14" i="5"/>
  <c r="D22" i="5"/>
  <c r="D30" i="5"/>
  <c r="D46" i="5"/>
  <c r="D54" i="5"/>
  <c r="D62" i="5"/>
  <c r="D70" i="5"/>
  <c r="D78" i="5"/>
  <c r="D82" i="5"/>
  <c r="D52" i="5"/>
  <c r="D76" i="5"/>
  <c r="D16" i="5"/>
  <c r="D24" i="5"/>
  <c r="D32" i="5"/>
  <c r="D40" i="5"/>
  <c r="D48" i="5"/>
  <c r="D56" i="5"/>
  <c r="D64" i="5"/>
  <c r="D72" i="5"/>
  <c r="D80" i="5"/>
  <c r="D18" i="5"/>
  <c r="D34" i="5"/>
  <c r="D58" i="5"/>
  <c r="D66" i="5"/>
  <c r="D28" i="5"/>
  <c r="D44" i="5"/>
  <c r="D68" i="5"/>
  <c r="D10" i="5"/>
  <c r="D50" i="5"/>
  <c r="D74" i="5"/>
  <c r="D60" i="5"/>
  <c r="D42" i="5"/>
  <c r="D35" i="5"/>
  <c r="D38" i="5"/>
  <c r="D17" i="5"/>
  <c r="D71" i="5"/>
  <c r="D21" i="5"/>
  <c r="D27" i="5"/>
  <c r="D75" i="5"/>
  <c r="Q35" i="5"/>
  <c r="R35" i="5"/>
  <c r="S35" i="5"/>
  <c r="D12" i="5"/>
  <c r="O26" i="5"/>
  <c r="D9" i="5"/>
  <c r="F75" i="5"/>
  <c r="F85" i="5" l="1"/>
  <c r="G75" i="5" s="1"/>
  <c r="H75" i="5"/>
  <c r="Q26" i="5"/>
  <c r="R26" i="5"/>
  <c r="S26" i="5"/>
  <c r="H85" i="5" l="1"/>
  <c r="G11" i="5"/>
  <c r="G18" i="5"/>
  <c r="G20" i="5"/>
  <c r="G36" i="5"/>
  <c r="G43" i="5"/>
  <c r="G45" i="5"/>
  <c r="G47" i="5"/>
  <c r="G49" i="5"/>
  <c r="G51" i="5"/>
  <c r="G53" i="5"/>
  <c r="G55" i="5"/>
  <c r="G57" i="5"/>
  <c r="G59" i="5"/>
  <c r="G61" i="5"/>
  <c r="G63" i="5"/>
  <c r="G65" i="5"/>
  <c r="G67" i="5"/>
  <c r="G69" i="5"/>
  <c r="G76" i="5"/>
  <c r="G78" i="5"/>
  <c r="G80" i="5"/>
  <c r="G82" i="5"/>
  <c r="G84" i="5"/>
  <c r="G14" i="5"/>
  <c r="G16" i="5"/>
  <c r="G23" i="5"/>
  <c r="G25" i="5"/>
  <c r="G28" i="5"/>
  <c r="G30" i="5"/>
  <c r="G32" i="5"/>
  <c r="G34" i="5"/>
  <c r="G39" i="5"/>
  <c r="G41" i="5"/>
  <c r="G72" i="5"/>
  <c r="G74" i="5"/>
  <c r="G10" i="5"/>
  <c r="G19" i="5"/>
  <c r="G37" i="5"/>
  <c r="G44" i="5"/>
  <c r="G46" i="5"/>
  <c r="G48" i="5"/>
  <c r="G50" i="5"/>
  <c r="G52" i="5"/>
  <c r="G54" i="5"/>
  <c r="G56" i="5"/>
  <c r="G58" i="5"/>
  <c r="G60" i="5"/>
  <c r="G62" i="5"/>
  <c r="G64" i="5"/>
  <c r="G66" i="5"/>
  <c r="G68" i="5"/>
  <c r="G70" i="5"/>
  <c r="G77" i="5"/>
  <c r="G79" i="5"/>
  <c r="G81" i="5"/>
  <c r="G83" i="5"/>
  <c r="G85" i="5"/>
  <c r="G13" i="5"/>
  <c r="G15" i="5"/>
  <c r="G22" i="5"/>
  <c r="G24" i="5"/>
  <c r="G29" i="5"/>
  <c r="G31" i="5"/>
  <c r="G33" i="5"/>
  <c r="G40" i="5"/>
  <c r="G73" i="5"/>
  <c r="G71" i="5"/>
  <c r="G21" i="5"/>
  <c r="G42" i="5"/>
  <c r="G38" i="5"/>
  <c r="G35" i="5"/>
  <c r="G17" i="5"/>
  <c r="G27" i="5"/>
  <c r="G26" i="5"/>
  <c r="G12" i="5"/>
  <c r="C93" i="5" l="1"/>
  <c r="C92" i="5"/>
  <c r="C91" i="5"/>
  <c r="C90" i="5"/>
  <c r="O17" i="5" l="1"/>
  <c r="Q17" i="5" l="1"/>
  <c r="R17" i="5"/>
  <c r="S17" i="5"/>
  <c r="J92" i="5"/>
  <c r="J91" i="5"/>
  <c r="J90" i="5"/>
  <c r="J38" i="5" l="1"/>
  <c r="L38" i="5" s="1"/>
  <c r="J26" i="5" l="1"/>
  <c r="L26" i="5" s="1"/>
  <c r="Q12" i="5" l="1"/>
  <c r="R12" i="5"/>
  <c r="S12" i="5"/>
  <c r="M9" i="5"/>
  <c r="I38" i="5" l="1"/>
  <c r="N38" i="5" s="1"/>
  <c r="E9" i="5" l="1"/>
  <c r="H9" i="5" l="1"/>
  <c r="G9" i="5" l="1"/>
  <c r="I35" i="5" l="1"/>
  <c r="N35" i="5" s="1"/>
  <c r="O21" i="5"/>
  <c r="E144" i="7"/>
  <c r="H143" i="7"/>
  <c r="E143" i="7"/>
  <c r="H142" i="7"/>
  <c r="E142" i="7"/>
  <c r="H141" i="7"/>
  <c r="E141" i="7"/>
  <c r="H140" i="7"/>
  <c r="E140" i="7"/>
  <c r="F139" i="7"/>
  <c r="C139" i="7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J85" i="7" s="1"/>
  <c r="K85" i="7" s="1"/>
  <c r="C84" i="7"/>
  <c r="E84" i="7" s="1"/>
  <c r="H83" i="7"/>
  <c r="E83" i="7"/>
  <c r="B82" i="7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B60" i="7"/>
  <c r="H59" i="7"/>
  <c r="E59" i="7"/>
  <c r="E58" i="7"/>
  <c r="H57" i="7"/>
  <c r="E57" i="7"/>
  <c r="F56" i="7"/>
  <c r="C56" i="7"/>
  <c r="B56" i="7"/>
  <c r="H55" i="7"/>
  <c r="E55" i="7"/>
  <c r="H54" i="7"/>
  <c r="E54" i="7"/>
  <c r="F53" i="7"/>
  <c r="C53" i="7"/>
  <c r="B53" i="7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B45" i="7"/>
  <c r="B44" i="7" s="1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B36" i="7"/>
  <c r="H35" i="7"/>
  <c r="E35" i="7"/>
  <c r="H34" i="7"/>
  <c r="E34" i="7"/>
  <c r="F33" i="7"/>
  <c r="C33" i="7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F8" i="7" s="1"/>
  <c r="C10" i="7"/>
  <c r="C8" i="7" s="1"/>
  <c r="B10" i="7"/>
  <c r="B8" i="7" s="1"/>
  <c r="H9" i="7"/>
  <c r="E9" i="7"/>
  <c r="C82" i="7"/>
  <c r="L44" i="7"/>
  <c r="C31" i="7" l="1"/>
  <c r="Q21" i="5"/>
  <c r="R21" i="5"/>
  <c r="S21" i="5"/>
  <c r="I17" i="5"/>
  <c r="N17" i="5" s="1"/>
  <c r="I27" i="5"/>
  <c r="N27" i="5" s="1"/>
  <c r="F31" i="7"/>
  <c r="F7" i="7" s="1"/>
  <c r="E53" i="7"/>
  <c r="H60" i="7"/>
  <c r="H139" i="7"/>
  <c r="H134" i="7"/>
  <c r="E56" i="7"/>
  <c r="E36" i="7"/>
  <c r="H39" i="7"/>
  <c r="F107" i="7"/>
  <c r="E60" i="7"/>
  <c r="C107" i="7"/>
  <c r="C77" i="7" s="1"/>
  <c r="H8" i="7"/>
  <c r="H10" i="7"/>
  <c r="B31" i="7"/>
  <c r="B7" i="7" s="1"/>
  <c r="E45" i="7"/>
  <c r="H53" i="7"/>
  <c r="E78" i="7"/>
  <c r="B77" i="7"/>
  <c r="H84" i="7"/>
  <c r="F82" i="7"/>
  <c r="E82" i="7"/>
  <c r="E18" i="7"/>
  <c r="H33" i="7"/>
  <c r="H36" i="7"/>
  <c r="H45" i="7"/>
  <c r="E39" i="7"/>
  <c r="H56" i="7"/>
  <c r="E74" i="7"/>
  <c r="E139" i="7"/>
  <c r="H78" i="7"/>
  <c r="H113" i="7"/>
  <c r="H115" i="7"/>
  <c r="E10" i="7"/>
  <c r="C44" i="7"/>
  <c r="E44" i="7" s="1"/>
  <c r="H74" i="7"/>
  <c r="E33" i="7"/>
  <c r="H31" i="7"/>
  <c r="F44" i="7"/>
  <c r="H44" i="7" s="1"/>
  <c r="E107" i="7"/>
  <c r="H118" i="7"/>
  <c r="C17" i="7"/>
  <c r="H18" i="7"/>
  <c r="E8" i="7"/>
  <c r="F77" i="7" l="1"/>
  <c r="I26" i="5"/>
  <c r="N26" i="5" s="1"/>
  <c r="I12" i="5"/>
  <c r="N12" i="5" s="1"/>
  <c r="J21" i="5"/>
  <c r="L21" i="5" s="1"/>
  <c r="O9" i="5"/>
  <c r="I75" i="5"/>
  <c r="N75" i="5" s="1"/>
  <c r="E77" i="7"/>
  <c r="H82" i="7"/>
  <c r="H107" i="7"/>
  <c r="E31" i="7"/>
  <c r="E17" i="7"/>
  <c r="C7" i="7"/>
  <c r="C145" i="7" s="1"/>
  <c r="D77" i="7" s="1"/>
  <c r="H17" i="7"/>
  <c r="H77" i="7"/>
  <c r="F145" i="7"/>
  <c r="B145" i="7"/>
  <c r="T10" i="5" l="1"/>
  <c r="R9" i="5"/>
  <c r="D17" i="7"/>
  <c r="D98" i="7"/>
  <c r="D83" i="7"/>
  <c r="I9" i="5"/>
  <c r="N9" i="5" s="1"/>
  <c r="J12" i="5"/>
  <c r="L12" i="5" s="1"/>
  <c r="O75" i="5"/>
  <c r="Q75" i="5" s="1"/>
  <c r="S9" i="5"/>
  <c r="Q9" i="5"/>
  <c r="D123" i="7"/>
  <c r="D85" i="7"/>
  <c r="D44" i="7"/>
  <c r="D95" i="7"/>
  <c r="D45" i="7"/>
  <c r="D135" i="7"/>
  <c r="D13" i="7"/>
  <c r="D105" i="7"/>
  <c r="D107" i="7"/>
  <c r="D139" i="7"/>
  <c r="E7" i="7"/>
  <c r="D120" i="7"/>
  <c r="D116" i="7"/>
  <c r="D91" i="7"/>
  <c r="D115" i="7"/>
  <c r="D103" i="7"/>
  <c r="D114" i="7"/>
  <c r="D65" i="7"/>
  <c r="D88" i="7"/>
  <c r="D8" i="7"/>
  <c r="D34" i="7"/>
  <c r="D86" i="7"/>
  <c r="D9" i="7"/>
  <c r="D35" i="7"/>
  <c r="D48" i="7"/>
  <c r="D46" i="7"/>
  <c r="D51" i="7"/>
  <c r="D49" i="7"/>
  <c r="D55" i="7"/>
  <c r="D41" i="7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R75" i="5" l="1"/>
  <c r="S75" i="5"/>
  <c r="O85" i="5"/>
  <c r="Q85" i="5" s="1"/>
  <c r="I85" i="5"/>
  <c r="N85" i="5" s="1"/>
  <c r="P75" i="5" l="1"/>
  <c r="P9" i="5"/>
  <c r="P10" i="5"/>
  <c r="P11" i="5"/>
  <c r="P13" i="5"/>
  <c r="P14" i="5"/>
  <c r="P15" i="5"/>
  <c r="P16" i="5"/>
  <c r="P18" i="5"/>
  <c r="P19" i="5"/>
  <c r="P20" i="5"/>
  <c r="P22" i="5"/>
  <c r="P23" i="5"/>
  <c r="P24" i="5"/>
  <c r="P25" i="5"/>
  <c r="P29" i="5"/>
  <c r="P30" i="5"/>
  <c r="P31" i="5"/>
  <c r="P32" i="5"/>
  <c r="P33" i="5"/>
  <c r="P34" i="5"/>
  <c r="P36" i="5"/>
  <c r="P37" i="5"/>
  <c r="P39" i="5"/>
  <c r="P40" i="5"/>
  <c r="P41" i="5"/>
  <c r="P43" i="5"/>
  <c r="P44" i="5"/>
  <c r="P45" i="5"/>
  <c r="P46" i="5"/>
  <c r="P47" i="5"/>
  <c r="P48" i="5"/>
  <c r="P49" i="5"/>
  <c r="P50" i="5"/>
  <c r="P51" i="5"/>
  <c r="P52" i="5"/>
  <c r="P53" i="5"/>
  <c r="P55" i="5"/>
  <c r="P56" i="5"/>
  <c r="P58" i="5"/>
  <c r="P59" i="5"/>
  <c r="P62" i="5"/>
  <c r="P64" i="5"/>
  <c r="P67" i="5"/>
  <c r="P70" i="5"/>
  <c r="P73" i="5"/>
  <c r="P76" i="5"/>
  <c r="P78" i="5"/>
  <c r="P80" i="5"/>
  <c r="P82" i="5"/>
  <c r="P85" i="5"/>
  <c r="S85" i="5"/>
  <c r="P28" i="5"/>
  <c r="P54" i="5"/>
  <c r="P57" i="5"/>
  <c r="P60" i="5"/>
  <c r="P61" i="5"/>
  <c r="P63" i="5"/>
  <c r="P65" i="5"/>
  <c r="P66" i="5"/>
  <c r="P68" i="5"/>
  <c r="P69" i="5"/>
  <c r="P72" i="5"/>
  <c r="P74" i="5"/>
  <c r="P77" i="5"/>
  <c r="P79" i="5"/>
  <c r="P81" i="5"/>
  <c r="P83" i="5"/>
  <c r="P84" i="5"/>
  <c r="R85" i="5"/>
  <c r="P27" i="5"/>
  <c r="P42" i="5"/>
  <c r="P38" i="5"/>
  <c r="P71" i="5"/>
  <c r="P35" i="5"/>
  <c r="P26" i="5"/>
  <c r="P17" i="5"/>
  <c r="P12" i="5"/>
  <c r="P21" i="5"/>
  <c r="J9" i="5"/>
  <c r="L9" i="5" s="1"/>
  <c r="J85" i="5" l="1"/>
  <c r="L85" i="5" s="1"/>
</calcChain>
</file>

<file path=xl/sharedStrings.xml><?xml version="1.0" encoding="utf-8"?>
<sst xmlns="http://schemas.openxmlformats.org/spreadsheetml/2006/main" count="274" uniqueCount="230">
  <si>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</si>
  <si>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</si>
  <si>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</si>
  <si>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</si>
  <si>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</si>
  <si>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</si>
  <si>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</si>
  <si>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</si>
  <si>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</si>
  <si>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</si>
  <si>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</si>
  <si>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</si>
  <si>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</si>
  <si>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</si>
  <si>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</si>
  <si>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</si>
  <si>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</si>
  <si>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</si>
  <si>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</si>
  <si>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</si>
  <si>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</si>
  <si>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</si>
  <si>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</si>
  <si>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</si>
  <si>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</si>
  <si>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</si>
  <si>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</si>
  <si>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</si>
  <si>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</si>
  <si>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</si>
  <si>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</si>
  <si>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</si>
  <si>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</si>
  <si>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</si>
  <si>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</si>
  <si>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</si>
  <si>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</si>
  <si>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</si>
  <si>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</si>
  <si>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</si>
  <si>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</si>
  <si>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</si>
  <si>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</si>
  <si>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</si>
  <si>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</si>
  <si>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</si>
  <si>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</si>
  <si>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</si>
  <si>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</si>
  <si>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</si>
  <si>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</si>
  <si>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</si>
  <si>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</si>
  <si>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</si>
  <si>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</si>
  <si>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</si>
  <si>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</si>
  <si>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</si>
  <si>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</si>
  <si>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</si>
  <si>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</si>
  <si>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</si>
  <si>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</si>
  <si>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</si>
  <si>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</si>
  <si>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</si>
  <si>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</si>
  <si>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</si>
  <si>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</si>
  <si>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</si>
  <si>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</si>
  <si>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</si>
  <si>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</si>
  <si>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</si>
  <si>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</si>
  <si>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</si>
  <si>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</si>
  <si>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</si>
  <si>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</si>
  <si>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</si>
  <si>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</si>
  <si>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</si>
  <si>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</si>
  <si>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</si>
  <si>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</si>
  <si>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</si>
  <si>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</si>
  <si>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</si>
  <si>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</si>
  <si>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</si>
  <si>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</si>
  <si>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</si>
  <si>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</si>
  <si>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</si>
  <si>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</si>
  <si>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</si>
  <si>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</si>
  <si>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</si>
  <si>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</si>
  <si>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</si>
  <si>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</si>
  <si>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</si>
  <si>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</si>
  <si>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</si>
  <si>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</si>
  <si>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</si>
  <si>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</si>
  <si>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</si>
  <si>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</si>
  <si>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</si>
  <si>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</si>
  <si>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</si>
  <si>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</si>
  <si>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</si>
  <si>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</si>
  <si>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</si>
  <si>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</si>
  <si>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</si>
  <si>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</si>
  <si>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</si>
  <si>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</si>
  <si>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</si>
  <si>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</si>
  <si>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</si>
  <si>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</si>
  <si>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</si>
  <si>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</si>
  <si>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</si>
  <si>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</si>
  <si>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</si>
  <si>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</si>
  <si>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</si>
  <si>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</si>
  <si>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</si>
  <si>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</si>
  <si>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</si>
  <si>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</si>
  <si>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</si>
  <si>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</si>
  <si>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</si>
  <si>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</si>
  <si>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</si>
  <si>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</si>
  <si>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</si>
  <si>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</si>
  <si>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</si>
  <si>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</si>
  <si>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</si>
  <si>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</si>
  <si>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</si>
  <si>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</si>
  <si>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</si>
  <si>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</si>
  <si>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</si>
  <si>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</si>
  <si>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</si>
  <si>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</si>
  <si>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</si>
  <si>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</si>
  <si>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</si>
  <si>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исполнения 2011 года и 2012 года, руб.</t>
  </si>
  <si>
    <t xml:space="preserve">Налог, взимаемый в связи с применением упрощенной системы налогообложения </t>
  </si>
  <si>
    <t>Доходы от оказания платных услуг (работ) и компенсации затрат государства</t>
  </si>
  <si>
    <t>Приложение № 2 к                                               заключению Счётной палаты</t>
  </si>
  <si>
    <t>Доходы от оказания платных услуг (работ)</t>
  </si>
  <si>
    <t>Доходы от компенсации затрат государства</t>
  </si>
  <si>
    <t>Налог, взимаемый в связи с применением патентной системы налогообложения</t>
  </si>
  <si>
    <t>Доходы от продажи квартир</t>
  </si>
  <si>
    <t>Уточнённый  план по решению о бюджете, руб.</t>
  </si>
  <si>
    <t xml:space="preserve">Уточненный план по данным департамента финансов </t>
  </si>
  <si>
    <t>Уточнение плана, руб. (гр.11-гр. 10)</t>
  </si>
  <si>
    <t>Изменение плана, руб. (гр.11-гр.9)</t>
  </si>
  <si>
    <t>Первоначаль-              ный план, руб.</t>
  </si>
  <si>
    <t>удель-ный вес в общей сумме дохо-дов, %</t>
  </si>
  <si>
    <t>Прочие неналоговые  доходы бюджетов городских округов</t>
  </si>
  <si>
    <t>Налог на имущество физических лиц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</si>
  <si>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</si>
  <si>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</si>
  <si>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</si>
  <si>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Доходы бюджетов городских округов от возврата организациями остатков субсидий прошлых лет</t>
  </si>
  <si>
    <t>Государственная пошлина по делам, рассматриваемым в судах общей юрисдикции, мировыми судьями</t>
  </si>
  <si>
    <t>2021 год</t>
  </si>
  <si>
    <t>Инициативные платежи, зачисляемые в бюджеты городских округов</t>
  </si>
  <si>
    <t>2022 год</t>
  </si>
  <si>
    <t>Сравнительный анализ исполнения доходной части бюджета за 2021 - 2022 годы</t>
  </si>
  <si>
    <t>исполнения 2022 года и 2021 года, руб.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</si>
  <si>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</si>
  <si>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Задолженность и перерасчеты по отмененным налогам, сборам и иным обязательным платежам</t>
  </si>
  <si>
    <t>Акцизы по подакцизным товарам (продукции), производимым на территории Российской Федерации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</si>
  <si>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</si>
  <si>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</si>
  <si>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</si>
  <si>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</si>
  <si>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</si>
  <si>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</si>
  <si>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</si>
  <si>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</si>
  <si>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</si>
  <si>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</si>
  <si>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</si>
  <si>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</si>
  <si>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</si>
  <si>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</si>
  <si>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</si>
  <si>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</si>
  <si>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</si>
  <si>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</si>
  <si>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</si>
  <si>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</si>
  <si>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</si>
  <si>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</si>
  <si>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</si>
  <si>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</si>
  <si>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</si>
  <si>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</si>
  <si>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</si>
  <si>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безвозмездные поступления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</si>
  <si>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</si>
  <si>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</si>
  <si>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исполнения и уточнённого плана 2022 года, руб. (гр. 15-гр. 11)</t>
  </si>
  <si>
    <t>Первоначаль-             ный план, руб.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</si>
  <si>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</si>
  <si>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</si>
  <si>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</si>
  <si>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</si>
  <si>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</si>
  <si>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(автономны-ми)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</si>
  <si>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</si>
  <si>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% испол- нения уточнённого плана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</si>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</sst>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(* #,##0.00_);_(* \-#,##0.00;_(* &quot;&quot;??_);_(@_)"/>
    <numFmt numFmtId="167" formatCode="000000"/>
  </numFmts>
  <fonts count="16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8" fillId="0" borderId="0"/>
    <xf numFmtId="0" fontId="5" fillId="0" borderId="0"/>
  </cellStyleXfs>
  <cellXfs count="164">
    <xf numFmtId="0" fontId="0" fillId="0" borderId="0" xfId="0"/>
    <xf numFmtId="0" fontId="1" fillId="0" borderId="0" xfId="0" applyFont="1" applyAlignment="1">
      <alignment horizontal="justify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2" fillId="0" borderId="1" xfId="0" applyNumberFormat="1" applyFont="1" applyFill="1" applyBorder="1" applyAlignment="1">
      <alignment horizontal="justify" vertical="center" wrapText="1"/>
    </xf>
    <xf numFmtId="0" fontId="13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6" fontId="10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12" fillId="0" borderId="1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0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6" fontId="14" fillId="0" borderId="1" xfId="0" applyNumberFormat="1" applyFont="1" applyFill="1" applyBorder="1" applyAlignment="1">
      <alignment horizontal="right" vertical="center"/>
    </xf>
    <xf numFmtId="164" fontId="11" fillId="0" borderId="0" xfId="0" applyNumberFormat="1" applyFont="1"/>
    <xf numFmtId="164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5" fontId="1" fillId="0" borderId="2" xfId="0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0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1" fillId="0" borderId="1" xfId="0" applyFont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left" wrapText="1"/>
    </xf>
    <xf numFmtId="164" fontId="5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7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4" fontId="9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/>
    <xf numFmtId="4" fontId="1" fillId="0" borderId="0" xfId="0" applyNumberFormat="1" applyFont="1" applyFill="1"/>
    <xf numFmtId="4" fontId="1" fillId="0" borderId="1" xfId="0" applyNumberFormat="1" applyFont="1" applyFill="1" applyBorder="1"/>
    <xf numFmtId="3" fontId="9" fillId="0" borderId="0" xfId="0" applyNumberFormat="1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43" fontId="11" fillId="0" borderId="0" xfId="0" applyNumberFormat="1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167" fontId="1" fillId="0" borderId="1" xfId="3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0" fontId="1" fillId="0" borderId="1" xfId="2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5">
    <cellStyle name="Обычный" xfId="0" builtinId="0"/>
    <cellStyle name="Обычный 2" xfId="3"/>
    <cellStyle name="Обычный 3" xfId="4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tabSelected="1" view="pageBreakPreview" zoomScaleNormal="100" zoomScaleSheetLayoutView="100" workbookViewId="0">
      <pane xSplit="1" ySplit="8" topLeftCell="B81" activePane="bottomRight" state="frozen"/>
      <selection pane="topRight" activeCell="B1" sqref="B1"/>
      <selection pane="bottomLeft" activeCell="A7" sqref="A7"/>
      <selection pane="bottomRight" activeCell="A66" sqref="A66"/>
    </sheetView>
  </sheetViews>
  <sheetFormatPr defaultColWidth="9.140625" defaultRowHeight="15" x14ac:dyDescent="0.25"/>
  <cols>
    <col min="1" max="1" width="33.5703125" style="86" customWidth="1"/>
    <col min="2" max="2" width="17.85546875" style="91" customWidth="1"/>
    <col min="3" max="3" width="16.85546875" style="87" customWidth="1"/>
    <col min="4" max="4" width="7.5703125" style="107" customWidth="1"/>
    <col min="5" max="5" width="17.7109375" style="107" customWidth="1"/>
    <col min="6" max="6" width="17.42578125" style="87" customWidth="1"/>
    <col min="7" max="7" width="7.42578125" style="107" customWidth="1"/>
    <col min="8" max="8" width="7.7109375" style="107" customWidth="1"/>
    <col min="9" max="9" width="18.42578125" style="91" customWidth="1"/>
    <col min="10" max="10" width="18" style="87" customWidth="1"/>
    <col min="11" max="11" width="18.28515625" style="87" customWidth="1"/>
    <col min="12" max="12" width="14.7109375" style="87" customWidth="1"/>
    <col min="13" max="13" width="7.7109375" style="87" customWidth="1"/>
    <col min="14" max="14" width="15.42578125" style="87" customWidth="1"/>
    <col min="15" max="15" width="18" style="128" customWidth="1"/>
    <col min="16" max="16" width="7.42578125" style="87" customWidth="1"/>
    <col min="17" max="17" width="7.5703125" style="87" customWidth="1"/>
    <col min="18" max="18" width="16.85546875" style="79" customWidth="1"/>
    <col min="19" max="19" width="17" style="79" customWidth="1"/>
    <col min="20" max="20" width="19" style="81" customWidth="1"/>
    <col min="21" max="16384" width="9.140625" style="81"/>
  </cols>
  <sheetData>
    <row r="1" spans="1:20" s="100" customFormat="1" ht="26.25" customHeight="1" x14ac:dyDescent="0.2">
      <c r="A1" s="98"/>
      <c r="B1" s="91"/>
      <c r="C1" s="87"/>
      <c r="D1" s="99"/>
      <c r="E1" s="99"/>
      <c r="F1" s="87"/>
      <c r="G1" s="99"/>
      <c r="H1" s="99"/>
      <c r="I1" s="91"/>
      <c r="J1" s="87"/>
      <c r="K1" s="87"/>
      <c r="L1" s="87"/>
      <c r="M1" s="87"/>
      <c r="N1" s="87"/>
      <c r="O1" s="128"/>
      <c r="P1" s="87"/>
      <c r="Q1" s="87"/>
      <c r="R1" s="146" t="s">
        <v>163</v>
      </c>
      <c r="S1" s="147"/>
    </row>
    <row r="2" spans="1:20" s="100" customFormat="1" x14ac:dyDescent="0.25">
      <c r="A2" s="101"/>
      <c r="B2" s="91"/>
      <c r="C2" s="87"/>
      <c r="D2" s="99"/>
      <c r="E2" s="99"/>
      <c r="F2" s="87"/>
      <c r="G2" s="99"/>
      <c r="H2" s="99"/>
      <c r="I2" s="91"/>
      <c r="J2" s="87"/>
      <c r="K2" s="87"/>
      <c r="L2" s="97"/>
      <c r="M2" s="87"/>
      <c r="N2" s="87"/>
      <c r="O2" s="128"/>
      <c r="P2" s="87"/>
      <c r="Q2" s="87"/>
      <c r="R2" s="147"/>
      <c r="S2" s="147"/>
    </row>
    <row r="3" spans="1:20" s="100" customFormat="1" x14ac:dyDescent="0.25">
      <c r="A3" s="101"/>
      <c r="B3" s="91"/>
      <c r="C3" s="87"/>
      <c r="D3" s="99"/>
      <c r="E3" s="99"/>
      <c r="F3" s="97"/>
      <c r="G3" s="99"/>
      <c r="H3" s="99"/>
      <c r="I3" s="91"/>
      <c r="J3" s="87"/>
      <c r="K3" s="87"/>
      <c r="L3" s="87"/>
      <c r="M3" s="87"/>
      <c r="N3" s="87"/>
      <c r="O3" s="129"/>
      <c r="P3" s="87"/>
      <c r="Q3" s="87"/>
      <c r="R3" s="91"/>
      <c r="S3" s="87"/>
    </row>
    <row r="4" spans="1:20" s="100" customFormat="1" x14ac:dyDescent="0.25">
      <c r="A4" s="148" t="s">
        <v>184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</row>
    <row r="5" spans="1:20" s="100" customFormat="1" x14ac:dyDescent="0.25">
      <c r="A5" s="102"/>
      <c r="B5" s="92"/>
      <c r="C5" s="88"/>
      <c r="F5" s="88"/>
      <c r="I5" s="92"/>
      <c r="J5" s="88"/>
      <c r="K5" s="88"/>
      <c r="L5" s="88"/>
      <c r="M5" s="88"/>
      <c r="N5" s="88"/>
      <c r="O5" s="133"/>
      <c r="P5" s="88"/>
      <c r="Q5" s="88"/>
      <c r="R5" s="88"/>
      <c r="S5" s="88"/>
    </row>
    <row r="6" spans="1:20" s="103" customFormat="1" ht="21.75" customHeight="1" x14ac:dyDescent="0.2">
      <c r="A6" s="152" t="s">
        <v>0</v>
      </c>
      <c r="B6" s="150" t="s">
        <v>181</v>
      </c>
      <c r="C6" s="150"/>
      <c r="D6" s="150"/>
      <c r="E6" s="150"/>
      <c r="F6" s="150"/>
      <c r="G6" s="150"/>
      <c r="H6" s="151"/>
      <c r="I6" s="150" t="s">
        <v>183</v>
      </c>
      <c r="J6" s="150"/>
      <c r="K6" s="150"/>
      <c r="L6" s="150"/>
      <c r="M6" s="150"/>
      <c r="N6" s="150"/>
      <c r="O6" s="150"/>
      <c r="P6" s="150"/>
      <c r="Q6" s="151"/>
      <c r="R6" s="150" t="s">
        <v>56</v>
      </c>
      <c r="S6" s="151"/>
    </row>
    <row r="7" spans="1:20" s="103" customFormat="1" ht="114" x14ac:dyDescent="0.2">
      <c r="A7" s="153"/>
      <c r="B7" s="89" t="s">
        <v>220</v>
      </c>
      <c r="C7" s="93" t="s">
        <v>169</v>
      </c>
      <c r="D7" s="93" t="s">
        <v>173</v>
      </c>
      <c r="E7" s="89" t="s">
        <v>117</v>
      </c>
      <c r="F7" s="89" t="s">
        <v>75</v>
      </c>
      <c r="G7" s="93" t="s">
        <v>173</v>
      </c>
      <c r="H7" s="94" t="s">
        <v>228</v>
      </c>
      <c r="I7" s="89" t="s">
        <v>172</v>
      </c>
      <c r="J7" s="89" t="s">
        <v>168</v>
      </c>
      <c r="K7" s="93" t="s">
        <v>169</v>
      </c>
      <c r="L7" s="93" t="s">
        <v>170</v>
      </c>
      <c r="M7" s="93" t="s">
        <v>173</v>
      </c>
      <c r="N7" s="89" t="s">
        <v>171</v>
      </c>
      <c r="O7" s="89" t="s">
        <v>75</v>
      </c>
      <c r="P7" s="93" t="s">
        <v>173</v>
      </c>
      <c r="Q7" s="94" t="s">
        <v>228</v>
      </c>
      <c r="R7" s="89" t="s">
        <v>219</v>
      </c>
      <c r="S7" s="104" t="s">
        <v>185</v>
      </c>
    </row>
    <row r="8" spans="1:20" s="105" customFormat="1" ht="14.25" x14ac:dyDescent="0.2">
      <c r="A8" s="90">
        <v>1</v>
      </c>
      <c r="B8" s="95">
        <v>2</v>
      </c>
      <c r="C8" s="95">
        <v>3</v>
      </c>
      <c r="D8" s="95">
        <v>4</v>
      </c>
      <c r="E8" s="95">
        <v>5</v>
      </c>
      <c r="F8" s="90">
        <v>6</v>
      </c>
      <c r="G8" s="95">
        <v>7</v>
      </c>
      <c r="H8" s="95">
        <v>8</v>
      </c>
      <c r="I8" s="95">
        <v>9</v>
      </c>
      <c r="J8" s="90">
        <v>10</v>
      </c>
      <c r="K8" s="95">
        <v>11</v>
      </c>
      <c r="L8" s="95">
        <v>12</v>
      </c>
      <c r="M8" s="95">
        <v>13</v>
      </c>
      <c r="N8" s="95">
        <v>14</v>
      </c>
      <c r="O8" s="90">
        <v>15</v>
      </c>
      <c r="P8" s="95">
        <v>16</v>
      </c>
      <c r="Q8" s="95">
        <v>17</v>
      </c>
      <c r="R8" s="90">
        <v>18</v>
      </c>
      <c r="S8" s="95">
        <v>19</v>
      </c>
    </row>
    <row r="9" spans="1:20" s="103" customFormat="1" ht="14.25" x14ac:dyDescent="0.2">
      <c r="A9" s="134" t="s">
        <v>49</v>
      </c>
      <c r="B9" s="125">
        <f>B10+B12+B17+B21+B11</f>
        <v>2628929400</v>
      </c>
      <c r="C9" s="125">
        <f>C10+C12+C17+C21+C11</f>
        <v>2813950700</v>
      </c>
      <c r="D9" s="111">
        <f t="shared" ref="D9:D72" si="0">C9/C$85*100</f>
        <v>29.650040535118254</v>
      </c>
      <c r="E9" s="111">
        <f t="shared" ref="E9:E72" si="1">C9-B9</f>
        <v>185021300</v>
      </c>
      <c r="F9" s="125">
        <f>F10+F12+F17+F21+F11+F25</f>
        <v>2940684139.3299994</v>
      </c>
      <c r="G9" s="111">
        <f t="shared" ref="G9:G72" si="2">F9/F$85*100</f>
        <v>31.710255731385995</v>
      </c>
      <c r="H9" s="111">
        <f t="shared" ref="H9" si="3">F9/C9*100</f>
        <v>104.50375478610907</v>
      </c>
      <c r="I9" s="124">
        <f>I10+I12+I17+I21+I11</f>
        <v>3771679500</v>
      </c>
      <c r="J9" s="126">
        <f>J10+J12+J17+J21+J11</f>
        <v>4185155000</v>
      </c>
      <c r="K9" s="127">
        <f>K10+K12+K17+K21+K11</f>
        <v>4185155000</v>
      </c>
      <c r="L9" s="126">
        <f>K9-J9</f>
        <v>0</v>
      </c>
      <c r="M9" s="111">
        <f t="shared" ref="M9:M72" si="4">K9/K$85*100</f>
        <v>32.848541363739429</v>
      </c>
      <c r="N9" s="111">
        <f>K9-I9</f>
        <v>413475500</v>
      </c>
      <c r="O9" s="127">
        <f>O10+O12+O17+O21+O11+O25</f>
        <v>4367667636.3100004</v>
      </c>
      <c r="P9" s="111">
        <f t="shared" ref="P9:P72" si="5">O9/O$85*100</f>
        <v>34.236715862343736</v>
      </c>
      <c r="Q9" s="111">
        <f t="shared" ref="Q9" si="6">O9/K9*100</f>
        <v>104.36095285144758</v>
      </c>
      <c r="R9" s="111">
        <f>O9-K9</f>
        <v>182512636.31000042</v>
      </c>
      <c r="S9" s="111">
        <f t="shared" ref="S9" si="7">O9-F9</f>
        <v>1426983496.980001</v>
      </c>
    </row>
    <row r="10" spans="1:20" s="107" customFormat="1" x14ac:dyDescent="0.2">
      <c r="A10" s="135" t="s">
        <v>1</v>
      </c>
      <c r="B10" s="112">
        <v>1973671000</v>
      </c>
      <c r="C10" s="112">
        <v>1985671000</v>
      </c>
      <c r="D10" s="113">
        <f t="shared" si="0"/>
        <v>20.922621579478562</v>
      </c>
      <c r="E10" s="113">
        <f t="shared" si="1"/>
        <v>12000000</v>
      </c>
      <c r="F10" s="112">
        <f>1972064414.81+13618014.84+10057016.14+15795615.03+50647368.82</f>
        <v>2062182429.6399999</v>
      </c>
      <c r="G10" s="113">
        <f t="shared" si="2"/>
        <v>22.237115280104234</v>
      </c>
      <c r="H10" s="113">
        <f t="shared" ref="H10:H73" si="8">F10/C10*100</f>
        <v>103.85317757271974</v>
      </c>
      <c r="I10" s="112">
        <v>3062320100</v>
      </c>
      <c r="J10" s="112">
        <v>3250000000</v>
      </c>
      <c r="K10" s="112">
        <v>3250000000</v>
      </c>
      <c r="L10" s="112">
        <f t="shared" ref="L10:L72" si="9">K10-J10</f>
        <v>0</v>
      </c>
      <c r="M10" s="113">
        <f t="shared" si="4"/>
        <v>25.508675170251315</v>
      </c>
      <c r="N10" s="113">
        <f t="shared" ref="N10:N73" si="10">K10-I10</f>
        <v>187679900</v>
      </c>
      <c r="O10" s="112">
        <v>3393116952.2600002</v>
      </c>
      <c r="P10" s="113">
        <f t="shared" si="5"/>
        <v>26.59753228850817</v>
      </c>
      <c r="Q10" s="113">
        <f t="shared" ref="Q10:Q71" si="11">O10/K10*100</f>
        <v>104.40359853107692</v>
      </c>
      <c r="R10" s="113">
        <f t="shared" ref="R10:R73" si="12">O10-K10</f>
        <v>143116952.26000023</v>
      </c>
      <c r="S10" s="113">
        <f t="shared" ref="S10:S73" si="13">O10-F10</f>
        <v>1330934522.6200004</v>
      </c>
      <c r="T10" s="106">
        <f>O10/O9*100</f>
        <v>77.687160168777311</v>
      </c>
    </row>
    <row r="11" spans="1:20" s="107" customFormat="1" ht="45" x14ac:dyDescent="0.2">
      <c r="A11" s="136" t="s">
        <v>188</v>
      </c>
      <c r="B11" s="114">
        <v>8192400</v>
      </c>
      <c r="C11" s="114">
        <v>8192400</v>
      </c>
      <c r="D11" s="113">
        <f t="shared" si="0"/>
        <v>8.6321694292619558E-2</v>
      </c>
      <c r="E11" s="113">
        <f t="shared" si="1"/>
        <v>0</v>
      </c>
      <c r="F11" s="114">
        <f>4278115.5+30086.85+5688144.42-729528.52</f>
        <v>9266818.25</v>
      </c>
      <c r="G11" s="113">
        <f t="shared" si="2"/>
        <v>9.9926807028899681E-2</v>
      </c>
      <c r="H11" s="113">
        <f t="shared" si="8"/>
        <v>113.11481678140716</v>
      </c>
      <c r="I11" s="114">
        <v>8192400</v>
      </c>
      <c r="J11" s="114">
        <v>9800000</v>
      </c>
      <c r="K11" s="114">
        <v>9800000</v>
      </c>
      <c r="L11" s="112">
        <f t="shared" si="9"/>
        <v>0</v>
      </c>
      <c r="M11" s="113">
        <f t="shared" si="4"/>
        <v>7.6918466667219354E-2</v>
      </c>
      <c r="N11" s="113">
        <f t="shared" si="10"/>
        <v>1607600</v>
      </c>
      <c r="O11" s="114">
        <v>11577422.699999999</v>
      </c>
      <c r="P11" s="113">
        <f t="shared" si="5"/>
        <v>9.0751624071153433E-2</v>
      </c>
      <c r="Q11" s="113">
        <f t="shared" si="11"/>
        <v>118.13696632653061</v>
      </c>
      <c r="R11" s="113">
        <f t="shared" si="12"/>
        <v>1777422.6999999993</v>
      </c>
      <c r="S11" s="113">
        <f t="shared" si="13"/>
        <v>2310604.4499999993</v>
      </c>
    </row>
    <row r="12" spans="1:20" s="107" customFormat="1" x14ac:dyDescent="0.2">
      <c r="A12" s="135" t="s">
        <v>7</v>
      </c>
      <c r="B12" s="112">
        <v>457740000</v>
      </c>
      <c r="C12" s="112">
        <f>C13+C14+C15+C16</f>
        <v>612884300</v>
      </c>
      <c r="D12" s="113">
        <f t="shared" si="0"/>
        <v>6.4578403375501843</v>
      </c>
      <c r="E12" s="113">
        <f t="shared" si="1"/>
        <v>155144300</v>
      </c>
      <c r="F12" s="112">
        <f>F13+F14+F15+F16</f>
        <v>633540362.81000006</v>
      </c>
      <c r="G12" s="113">
        <f t="shared" si="2"/>
        <v>6.8316507210588666</v>
      </c>
      <c r="H12" s="113">
        <f t="shared" si="8"/>
        <v>103.37030379306502</v>
      </c>
      <c r="I12" s="112">
        <f>I13+I14+I15+I16</f>
        <v>484238600</v>
      </c>
      <c r="J12" s="112">
        <f>J13+J14+J15+J16</f>
        <v>685623700</v>
      </c>
      <c r="K12" s="112">
        <f>K13+K14+K15+K16</f>
        <v>685623700</v>
      </c>
      <c r="L12" s="112">
        <f t="shared" si="9"/>
        <v>0</v>
      </c>
      <c r="M12" s="113">
        <f t="shared" si="4"/>
        <v>5.3813391545617959</v>
      </c>
      <c r="N12" s="113">
        <f t="shared" si="10"/>
        <v>201385100</v>
      </c>
      <c r="O12" s="112">
        <f>O13+O14+O15+O16</f>
        <v>696115255.75999999</v>
      </c>
      <c r="P12" s="113">
        <f t="shared" si="5"/>
        <v>5.4566194599534095</v>
      </c>
      <c r="Q12" s="113">
        <f t="shared" si="11"/>
        <v>101.53022069686331</v>
      </c>
      <c r="R12" s="113">
        <f t="shared" si="12"/>
        <v>10491555.75999999</v>
      </c>
      <c r="S12" s="113">
        <f t="shared" si="13"/>
        <v>62574892.949999928</v>
      </c>
    </row>
    <row r="13" spans="1:20" s="107" customFormat="1" ht="46.5" customHeight="1" x14ac:dyDescent="0.2">
      <c r="A13" s="137" t="s">
        <v>161</v>
      </c>
      <c r="B13" s="112">
        <v>430496400</v>
      </c>
      <c r="C13" s="112">
        <v>571487000</v>
      </c>
      <c r="D13" s="113">
        <f t="shared" si="0"/>
        <v>6.0216451963046573</v>
      </c>
      <c r="E13" s="113">
        <f t="shared" si="1"/>
        <v>140990600</v>
      </c>
      <c r="F13" s="112">
        <f>457848793.7+18557.56+128111896.1+186.51+6946.61</f>
        <v>585986380.48000002</v>
      </c>
      <c r="G13" s="113">
        <f t="shared" si="2"/>
        <v>6.3188622441999822</v>
      </c>
      <c r="H13" s="113">
        <f t="shared" si="8"/>
        <v>102.53713216223642</v>
      </c>
      <c r="I13" s="112">
        <v>460000000</v>
      </c>
      <c r="J13" s="112">
        <v>661000000</v>
      </c>
      <c r="K13" s="112">
        <v>661000000</v>
      </c>
      <c r="L13" s="112">
        <f t="shared" si="9"/>
        <v>0</v>
      </c>
      <c r="M13" s="113">
        <f t="shared" si="4"/>
        <v>5.1880720884726523</v>
      </c>
      <c r="N13" s="113">
        <f t="shared" si="10"/>
        <v>201000000</v>
      </c>
      <c r="O13" s="112">
        <v>670150139.22000003</v>
      </c>
      <c r="P13" s="113">
        <f t="shared" si="5"/>
        <v>5.2530874169191888</v>
      </c>
      <c r="Q13" s="113">
        <f t="shared" si="11"/>
        <v>101.38428732526475</v>
      </c>
      <c r="R13" s="113">
        <f t="shared" si="12"/>
        <v>9150139.2200000286</v>
      </c>
      <c r="S13" s="113">
        <f t="shared" si="13"/>
        <v>84163758.74000001</v>
      </c>
    </row>
    <row r="14" spans="1:20" s="107" customFormat="1" ht="37.5" customHeight="1" x14ac:dyDescent="0.2">
      <c r="A14" s="137" t="s">
        <v>119</v>
      </c>
      <c r="B14" s="112">
        <v>0</v>
      </c>
      <c r="C14" s="112">
        <v>17866000</v>
      </c>
      <c r="D14" s="113">
        <f t="shared" si="0"/>
        <v>0.18825049927151274</v>
      </c>
      <c r="E14" s="113">
        <f t="shared" si="1"/>
        <v>17866000</v>
      </c>
      <c r="F14" s="112">
        <f>17766145.95-14259.76</f>
        <v>17751886.189999998</v>
      </c>
      <c r="G14" s="113">
        <f t="shared" si="2"/>
        <v>0.19142377220003412</v>
      </c>
      <c r="H14" s="113">
        <f t="shared" si="8"/>
        <v>99.361279469383163</v>
      </c>
      <c r="I14" s="112">
        <v>0</v>
      </c>
      <c r="J14" s="112">
        <v>1135000</v>
      </c>
      <c r="K14" s="112">
        <v>1135000</v>
      </c>
      <c r="L14" s="112">
        <f t="shared" si="9"/>
        <v>0</v>
      </c>
      <c r="M14" s="113">
        <f t="shared" si="4"/>
        <v>8.9084142517646889E-3</v>
      </c>
      <c r="N14" s="113">
        <f t="shared" si="10"/>
        <v>1135000</v>
      </c>
      <c r="O14" s="112">
        <v>1268727.43</v>
      </c>
      <c r="P14" s="113">
        <f t="shared" si="5"/>
        <v>9.9451387203924619E-3</v>
      </c>
      <c r="Q14" s="113">
        <f t="shared" si="11"/>
        <v>111.78215242290747</v>
      </c>
      <c r="R14" s="113">
        <f t="shared" si="12"/>
        <v>133727.42999999993</v>
      </c>
      <c r="S14" s="113">
        <f t="shared" si="13"/>
        <v>-16483158.759999998</v>
      </c>
    </row>
    <row r="15" spans="1:20" s="107" customFormat="1" ht="29.25" customHeight="1" x14ac:dyDescent="0.2">
      <c r="A15" s="137" t="s">
        <v>50</v>
      </c>
      <c r="B15" s="112">
        <v>1243600</v>
      </c>
      <c r="C15" s="112">
        <v>405300</v>
      </c>
      <c r="D15" s="113">
        <f t="shared" si="0"/>
        <v>4.2705657312629638E-3</v>
      </c>
      <c r="E15" s="113">
        <f t="shared" si="1"/>
        <v>-838300</v>
      </c>
      <c r="F15" s="112">
        <v>405283.1</v>
      </c>
      <c r="G15" s="113">
        <f t="shared" si="2"/>
        <v>4.3702860068259401E-3</v>
      </c>
      <c r="H15" s="113">
        <f t="shared" si="8"/>
        <v>99.995830249198121</v>
      </c>
      <c r="I15" s="112">
        <v>1238600</v>
      </c>
      <c r="J15" s="112">
        <v>488700</v>
      </c>
      <c r="K15" s="112">
        <v>488700</v>
      </c>
      <c r="L15" s="112">
        <f t="shared" si="9"/>
        <v>0</v>
      </c>
      <c r="M15" s="113">
        <f t="shared" si="4"/>
        <v>3.8357198632928665E-3</v>
      </c>
      <c r="N15" s="113">
        <f t="shared" si="10"/>
        <v>-749900</v>
      </c>
      <c r="O15" s="112">
        <v>488658.01</v>
      </c>
      <c r="P15" s="113">
        <f t="shared" si="5"/>
        <v>3.8304300682463583E-3</v>
      </c>
      <c r="Q15" s="113">
        <f t="shared" si="11"/>
        <v>99.991407816656448</v>
      </c>
      <c r="R15" s="113">
        <f t="shared" si="12"/>
        <v>-41.989999999990687</v>
      </c>
      <c r="S15" s="113">
        <f t="shared" si="13"/>
        <v>83374.910000000033</v>
      </c>
    </row>
    <row r="16" spans="1:20" s="107" customFormat="1" ht="30" x14ac:dyDescent="0.2">
      <c r="A16" s="137" t="s">
        <v>166</v>
      </c>
      <c r="B16" s="115">
        <v>26000000</v>
      </c>
      <c r="C16" s="115">
        <v>23126000</v>
      </c>
      <c r="D16" s="113">
        <f t="shared" si="0"/>
        <v>0.24367407624275181</v>
      </c>
      <c r="E16" s="113">
        <f t="shared" si="1"/>
        <v>-2874000</v>
      </c>
      <c r="F16" s="115">
        <v>29396813.039999999</v>
      </c>
      <c r="G16" s="113">
        <f t="shared" si="2"/>
        <v>0.3169944186520246</v>
      </c>
      <c r="H16" s="113">
        <f t="shared" si="8"/>
        <v>127.11585678457146</v>
      </c>
      <c r="I16" s="115">
        <v>23000000</v>
      </c>
      <c r="J16" s="115">
        <v>23000000</v>
      </c>
      <c r="K16" s="115">
        <v>23000000</v>
      </c>
      <c r="L16" s="112">
        <f t="shared" si="9"/>
        <v>0</v>
      </c>
      <c r="M16" s="113">
        <f t="shared" si="4"/>
        <v>0.18052293197408623</v>
      </c>
      <c r="N16" s="113">
        <f t="shared" si="10"/>
        <v>0</v>
      </c>
      <c r="O16" s="115">
        <v>24207731.100000001</v>
      </c>
      <c r="P16" s="113">
        <f t="shared" si="5"/>
        <v>0.18975647424558229</v>
      </c>
      <c r="Q16" s="113">
        <f t="shared" si="11"/>
        <v>105.25100478260869</v>
      </c>
      <c r="R16" s="113">
        <f t="shared" si="12"/>
        <v>1207731.1000000015</v>
      </c>
      <c r="S16" s="113">
        <f t="shared" si="13"/>
        <v>-5189081.9399999976</v>
      </c>
    </row>
    <row r="17" spans="1:19" s="107" customFormat="1" x14ac:dyDescent="0.2">
      <c r="A17" s="137" t="s">
        <v>10</v>
      </c>
      <c r="B17" s="112">
        <f>B18+B20+B19</f>
        <v>167623900</v>
      </c>
      <c r="C17" s="112">
        <f>C18+C20+C19</f>
        <v>184764000</v>
      </c>
      <c r="D17" s="113">
        <f t="shared" si="0"/>
        <v>1.9468216303258581</v>
      </c>
      <c r="E17" s="113">
        <f t="shared" si="1"/>
        <v>17140100</v>
      </c>
      <c r="F17" s="112">
        <f>F18+F20+F19</f>
        <v>211107973.25</v>
      </c>
      <c r="G17" s="113">
        <f t="shared" si="2"/>
        <v>2.27643891744773</v>
      </c>
      <c r="H17" s="113">
        <f t="shared" si="8"/>
        <v>114.25817434673422</v>
      </c>
      <c r="I17" s="112">
        <f>I18+I20+I19</f>
        <v>193381200</v>
      </c>
      <c r="J17" s="112">
        <f>J18+J20+J19</f>
        <v>211220300</v>
      </c>
      <c r="K17" s="112">
        <f>K18+K20+K19</f>
        <v>211220300</v>
      </c>
      <c r="L17" s="112">
        <f t="shared" si="9"/>
        <v>0</v>
      </c>
      <c r="M17" s="113">
        <f t="shared" si="4"/>
        <v>1.6578307760193951</v>
      </c>
      <c r="N17" s="113">
        <f t="shared" si="10"/>
        <v>17839100</v>
      </c>
      <c r="O17" s="112">
        <f>O18+O20+O19</f>
        <v>235867712.5</v>
      </c>
      <c r="P17" s="113">
        <f t="shared" si="5"/>
        <v>1.8488897339235009</v>
      </c>
      <c r="Q17" s="113">
        <f t="shared" si="11"/>
        <v>111.66905477361789</v>
      </c>
      <c r="R17" s="113">
        <f t="shared" si="12"/>
        <v>24647412.5</v>
      </c>
      <c r="S17" s="113">
        <f t="shared" si="13"/>
        <v>24759739.25</v>
      </c>
    </row>
    <row r="18" spans="1:19" s="107" customFormat="1" ht="36" customHeight="1" x14ac:dyDescent="0.2">
      <c r="A18" s="110" t="s">
        <v>175</v>
      </c>
      <c r="B18" s="112">
        <v>54000000</v>
      </c>
      <c r="C18" s="112">
        <v>60711000</v>
      </c>
      <c r="D18" s="113">
        <f t="shared" si="0"/>
        <v>0.6396997683461777</v>
      </c>
      <c r="E18" s="113">
        <f t="shared" si="1"/>
        <v>6711000</v>
      </c>
      <c r="F18" s="112">
        <v>79459564.930000007</v>
      </c>
      <c r="G18" s="113">
        <f t="shared" si="2"/>
        <v>0.85683569021766837</v>
      </c>
      <c r="H18" s="113">
        <f t="shared" si="8"/>
        <v>130.88166053927625</v>
      </c>
      <c r="I18" s="112">
        <v>66611900</v>
      </c>
      <c r="J18" s="112">
        <v>71672000</v>
      </c>
      <c r="K18" s="112">
        <v>71672000</v>
      </c>
      <c r="L18" s="112">
        <f t="shared" si="9"/>
        <v>0</v>
      </c>
      <c r="M18" s="113">
        <f t="shared" si="4"/>
        <v>0.56254085132376985</v>
      </c>
      <c r="N18" s="113">
        <f t="shared" si="10"/>
        <v>5060100</v>
      </c>
      <c r="O18" s="112">
        <v>93561129.769999996</v>
      </c>
      <c r="P18" s="113">
        <f t="shared" si="5"/>
        <v>0.73339504798070831</v>
      </c>
      <c r="Q18" s="113">
        <f t="shared" si="11"/>
        <v>130.54069897589017</v>
      </c>
      <c r="R18" s="113">
        <f t="shared" si="12"/>
        <v>21889129.769999996</v>
      </c>
      <c r="S18" s="113">
        <f t="shared" si="13"/>
        <v>14101564.839999989</v>
      </c>
    </row>
    <row r="19" spans="1:19" s="107" customFormat="1" x14ac:dyDescent="0.2">
      <c r="A19" s="110" t="s">
        <v>15</v>
      </c>
      <c r="B19" s="112">
        <v>44943000</v>
      </c>
      <c r="C19" s="112">
        <v>54780000</v>
      </c>
      <c r="D19" s="113">
        <f t="shared" si="0"/>
        <v>0.57720599743050871</v>
      </c>
      <c r="E19" s="113">
        <f t="shared" si="1"/>
        <v>9837000</v>
      </c>
      <c r="F19" s="112">
        <f>28616484.44+32446821.56</f>
        <v>61063306</v>
      </c>
      <c r="G19" s="113">
        <f t="shared" si="2"/>
        <v>0.65846345861036526</v>
      </c>
      <c r="H19" s="113">
        <f t="shared" si="8"/>
        <v>111.47007301935012</v>
      </c>
      <c r="I19" s="112">
        <v>59000000</v>
      </c>
      <c r="J19" s="112">
        <v>60195000</v>
      </c>
      <c r="K19" s="112">
        <v>60195000</v>
      </c>
      <c r="L19" s="112">
        <f t="shared" si="9"/>
        <v>0</v>
      </c>
      <c r="M19" s="113">
        <f t="shared" si="4"/>
        <v>0.47245990826870088</v>
      </c>
      <c r="N19" s="113">
        <f t="shared" si="10"/>
        <v>1195000</v>
      </c>
      <c r="O19" s="112">
        <v>60885443.119999997</v>
      </c>
      <c r="P19" s="113">
        <f t="shared" si="5"/>
        <v>0.47726104406914632</v>
      </c>
      <c r="Q19" s="113">
        <f t="shared" si="11"/>
        <v>101.14701074840102</v>
      </c>
      <c r="R19" s="113">
        <f t="shared" si="12"/>
        <v>690443.11999999732</v>
      </c>
      <c r="S19" s="113">
        <f t="shared" si="13"/>
        <v>-177862.88000000268</v>
      </c>
    </row>
    <row r="20" spans="1:19" s="107" customFormat="1" x14ac:dyDescent="0.2">
      <c r="A20" s="110" t="s">
        <v>12</v>
      </c>
      <c r="B20" s="112">
        <v>68680900</v>
      </c>
      <c r="C20" s="112">
        <v>69273000</v>
      </c>
      <c r="D20" s="113">
        <f t="shared" si="0"/>
        <v>0.72991586454917179</v>
      </c>
      <c r="E20" s="113">
        <f t="shared" si="1"/>
        <v>592100</v>
      </c>
      <c r="F20" s="112">
        <f>58238678.42+12346423.9</f>
        <v>70585102.320000008</v>
      </c>
      <c r="G20" s="113">
        <f t="shared" si="2"/>
        <v>0.76113976861969646</v>
      </c>
      <c r="H20" s="113">
        <f t="shared" si="8"/>
        <v>101.89410350352952</v>
      </c>
      <c r="I20" s="112">
        <v>67769300</v>
      </c>
      <c r="J20" s="112">
        <v>79353300</v>
      </c>
      <c r="K20" s="112">
        <v>79353300</v>
      </c>
      <c r="L20" s="112">
        <f t="shared" si="9"/>
        <v>0</v>
      </c>
      <c r="M20" s="113">
        <f t="shared" si="4"/>
        <v>0.62283001642692426</v>
      </c>
      <c r="N20" s="113">
        <f t="shared" si="10"/>
        <v>11584000</v>
      </c>
      <c r="O20" s="112">
        <v>81421139.609999999</v>
      </c>
      <c r="P20" s="113">
        <f t="shared" si="5"/>
        <v>0.63823364187364606</v>
      </c>
      <c r="Q20" s="113">
        <f t="shared" si="11"/>
        <v>102.60586467103448</v>
      </c>
      <c r="R20" s="113">
        <f t="shared" si="12"/>
        <v>2067839.6099999994</v>
      </c>
      <c r="S20" s="113">
        <f t="shared" si="13"/>
        <v>10836037.289999992</v>
      </c>
    </row>
    <row r="21" spans="1:19" s="107" customFormat="1" x14ac:dyDescent="0.2">
      <c r="A21" s="137" t="s">
        <v>18</v>
      </c>
      <c r="B21" s="112">
        <f>B22+B24</f>
        <v>21702100</v>
      </c>
      <c r="C21" s="112">
        <f>C22+C24+C23</f>
        <v>22439000</v>
      </c>
      <c r="D21" s="113">
        <f t="shared" si="0"/>
        <v>0.23643529347103293</v>
      </c>
      <c r="E21" s="113">
        <f t="shared" si="1"/>
        <v>736900</v>
      </c>
      <c r="F21" s="112">
        <f>F22+F24+F23</f>
        <v>24586564.219999999</v>
      </c>
      <c r="G21" s="113">
        <f t="shared" si="2"/>
        <v>0.26512410107056861</v>
      </c>
      <c r="H21" s="113">
        <f t="shared" si="8"/>
        <v>109.5706770355185</v>
      </c>
      <c r="I21" s="112">
        <f>I22+I24</f>
        <v>23547200</v>
      </c>
      <c r="J21" s="112">
        <f>J22+J24+J23</f>
        <v>28511000</v>
      </c>
      <c r="K21" s="112">
        <f>K22+K24+K23</f>
        <v>28511000</v>
      </c>
      <c r="L21" s="112">
        <f t="shared" si="9"/>
        <v>0</v>
      </c>
      <c r="M21" s="113">
        <f t="shared" si="4"/>
        <v>0.22377779623970312</v>
      </c>
      <c r="N21" s="113">
        <f t="shared" si="10"/>
        <v>4963800</v>
      </c>
      <c r="O21" s="112">
        <f>O22+O24+O23</f>
        <v>30990293.09</v>
      </c>
      <c r="P21" s="113">
        <f t="shared" si="5"/>
        <v>0.2429227558875037</v>
      </c>
      <c r="Q21" s="113">
        <f t="shared" si="11"/>
        <v>108.69591768089508</v>
      </c>
      <c r="R21" s="113">
        <f t="shared" si="12"/>
        <v>2479293.09</v>
      </c>
      <c r="S21" s="113">
        <f t="shared" si="13"/>
        <v>6403728.870000001</v>
      </c>
    </row>
    <row r="22" spans="1:19" s="107" customFormat="1" ht="45" x14ac:dyDescent="0.2">
      <c r="A22" s="110" t="s">
        <v>180</v>
      </c>
      <c r="B22" s="112">
        <v>21587100</v>
      </c>
      <c r="C22" s="112">
        <v>22319000</v>
      </c>
      <c r="D22" s="113">
        <f t="shared" si="0"/>
        <v>0.23517087726636587</v>
      </c>
      <c r="E22" s="113">
        <f t="shared" si="1"/>
        <v>731900</v>
      </c>
      <c r="F22" s="112">
        <v>24288364.219999999</v>
      </c>
      <c r="G22" s="113">
        <f t="shared" si="2"/>
        <v>0.26190852339847842</v>
      </c>
      <c r="H22" s="113">
        <f t="shared" si="8"/>
        <v>108.82371172543573</v>
      </c>
      <c r="I22" s="112">
        <v>23432200</v>
      </c>
      <c r="J22" s="112">
        <v>28441000</v>
      </c>
      <c r="K22" s="112">
        <v>28441000</v>
      </c>
      <c r="L22" s="112">
        <f t="shared" si="9"/>
        <v>0</v>
      </c>
      <c r="M22" s="113">
        <f t="shared" si="4"/>
        <v>0.22322837862065159</v>
      </c>
      <c r="N22" s="113">
        <f t="shared" si="10"/>
        <v>5008800</v>
      </c>
      <c r="O22" s="112">
        <v>30932293.09</v>
      </c>
      <c r="P22" s="113">
        <f t="shared" si="5"/>
        <v>0.24246811288685324</v>
      </c>
      <c r="Q22" s="113">
        <f t="shared" si="11"/>
        <v>108.7595129918076</v>
      </c>
      <c r="R22" s="113">
        <f t="shared" si="12"/>
        <v>2491293.09</v>
      </c>
      <c r="S22" s="113">
        <f t="shared" si="13"/>
        <v>6643928.870000001</v>
      </c>
    </row>
    <row r="23" spans="1:19" s="107" customFormat="1" ht="45" x14ac:dyDescent="0.2">
      <c r="A23" s="110" t="s">
        <v>189</v>
      </c>
      <c r="B23" s="112">
        <v>0</v>
      </c>
      <c r="C23" s="112">
        <v>5000</v>
      </c>
      <c r="D23" s="113">
        <f t="shared" si="0"/>
        <v>5.2684008527793779E-5</v>
      </c>
      <c r="E23" s="113">
        <f t="shared" si="1"/>
        <v>5000</v>
      </c>
      <c r="F23" s="112">
        <v>5000</v>
      </c>
      <c r="G23" s="113">
        <f t="shared" si="2"/>
        <v>5.3916459961270789E-5</v>
      </c>
      <c r="H23" s="113">
        <f t="shared" si="8"/>
        <v>100</v>
      </c>
      <c r="I23" s="112">
        <v>0</v>
      </c>
      <c r="J23" s="112">
        <v>10000</v>
      </c>
      <c r="K23" s="112">
        <v>10000</v>
      </c>
      <c r="L23" s="112">
        <f t="shared" si="9"/>
        <v>0</v>
      </c>
      <c r="M23" s="113">
        <f t="shared" si="4"/>
        <v>7.8488231293080972E-5</v>
      </c>
      <c r="N23" s="113">
        <f t="shared" si="10"/>
        <v>10000</v>
      </c>
      <c r="O23" s="112">
        <v>10000</v>
      </c>
      <c r="P23" s="113">
        <f t="shared" si="5"/>
        <v>7.8386724250081529E-5</v>
      </c>
      <c r="Q23" s="113">
        <f t="shared" si="11"/>
        <v>100</v>
      </c>
      <c r="R23" s="113">
        <f t="shared" si="12"/>
        <v>0</v>
      </c>
      <c r="S23" s="113">
        <f t="shared" si="13"/>
        <v>5000</v>
      </c>
    </row>
    <row r="24" spans="1:19" s="107" customFormat="1" ht="120.75" customHeight="1" x14ac:dyDescent="0.2">
      <c r="A24" s="138" t="s">
        <v>190</v>
      </c>
      <c r="B24" s="112">
        <v>115000</v>
      </c>
      <c r="C24" s="112">
        <v>115000</v>
      </c>
      <c r="D24" s="113">
        <f t="shared" si="0"/>
        <v>1.211732196139257E-3</v>
      </c>
      <c r="E24" s="113">
        <f t="shared" si="1"/>
        <v>0</v>
      </c>
      <c r="F24" s="112">
        <v>293200</v>
      </c>
      <c r="G24" s="113">
        <f t="shared" si="2"/>
        <v>3.1616612121289191E-3</v>
      </c>
      <c r="H24" s="113">
        <f t="shared" si="8"/>
        <v>254.95652173913044</v>
      </c>
      <c r="I24" s="112">
        <v>115000</v>
      </c>
      <c r="J24" s="112">
        <v>60000</v>
      </c>
      <c r="K24" s="112">
        <v>60000</v>
      </c>
      <c r="L24" s="112">
        <f t="shared" si="9"/>
        <v>0</v>
      </c>
      <c r="M24" s="113">
        <f t="shared" si="4"/>
        <v>4.7092938775848583E-4</v>
      </c>
      <c r="N24" s="113">
        <f t="shared" si="10"/>
        <v>-55000</v>
      </c>
      <c r="O24" s="112">
        <v>48000</v>
      </c>
      <c r="P24" s="113">
        <f t="shared" si="5"/>
        <v>3.7625627640039134E-4</v>
      </c>
      <c r="Q24" s="113">
        <f t="shared" si="11"/>
        <v>80</v>
      </c>
      <c r="R24" s="113">
        <f t="shared" si="12"/>
        <v>-12000</v>
      </c>
      <c r="S24" s="113">
        <f t="shared" si="13"/>
        <v>-245200</v>
      </c>
    </row>
    <row r="25" spans="1:19" s="107" customFormat="1" ht="45" x14ac:dyDescent="0.2">
      <c r="A25" s="110" t="s">
        <v>187</v>
      </c>
      <c r="B25" s="112">
        <v>0</v>
      </c>
      <c r="C25" s="112">
        <v>0</v>
      </c>
      <c r="D25" s="113">
        <f t="shared" si="0"/>
        <v>0</v>
      </c>
      <c r="E25" s="113">
        <f t="shared" si="1"/>
        <v>0</v>
      </c>
      <c r="F25" s="112">
        <v>-8.84</v>
      </c>
      <c r="G25" s="113">
        <f t="shared" si="2"/>
        <v>-9.5324301211526752E-8</v>
      </c>
      <c r="H25" s="113">
        <v>0</v>
      </c>
      <c r="I25" s="112">
        <v>0</v>
      </c>
      <c r="J25" s="112">
        <v>0</v>
      </c>
      <c r="K25" s="112">
        <v>0</v>
      </c>
      <c r="L25" s="112">
        <f t="shared" si="9"/>
        <v>0</v>
      </c>
      <c r="M25" s="113">
        <f t="shared" si="4"/>
        <v>0</v>
      </c>
      <c r="N25" s="113">
        <f t="shared" si="10"/>
        <v>0</v>
      </c>
      <c r="O25" s="112">
        <v>0</v>
      </c>
      <c r="P25" s="113">
        <f t="shared" si="5"/>
        <v>0</v>
      </c>
      <c r="Q25" s="113">
        <v>0</v>
      </c>
      <c r="R25" s="113">
        <f t="shared" si="12"/>
        <v>0</v>
      </c>
      <c r="S25" s="113">
        <f t="shared" si="13"/>
        <v>8.84</v>
      </c>
    </row>
    <row r="26" spans="1:19" s="80" customFormat="1" ht="16.5" customHeight="1" x14ac:dyDescent="0.2">
      <c r="A26" s="139" t="s">
        <v>20</v>
      </c>
      <c r="B26" s="104">
        <f>B27+B34+B35+B38+B42+B71+B84</f>
        <v>406400037</v>
      </c>
      <c r="C26" s="104">
        <f>C27+C34+C35+C38+C42+C71</f>
        <v>749716584</v>
      </c>
      <c r="D26" s="111">
        <f t="shared" si="0"/>
        <v>7.8996149809768852</v>
      </c>
      <c r="E26" s="111">
        <f t="shared" si="1"/>
        <v>343316547</v>
      </c>
      <c r="F26" s="104">
        <f>F27+F34+F35+F38+F42+F71</f>
        <v>799396141.75000012</v>
      </c>
      <c r="G26" s="111">
        <f t="shared" si="2"/>
        <v>8.6201220139716455</v>
      </c>
      <c r="H26" s="111">
        <f t="shared" si="8"/>
        <v>106.62644508741454</v>
      </c>
      <c r="I26" s="104">
        <f>I27+I34+I35+I38+I42+I71+I84</f>
        <v>441485470</v>
      </c>
      <c r="J26" s="104">
        <f>J27+J34+J35+J38+J42+J71</f>
        <v>657794379</v>
      </c>
      <c r="K26" s="104">
        <f>K27+K34+K35+K38+K42+K71</f>
        <v>657794379</v>
      </c>
      <c r="L26" s="132">
        <f t="shared" si="9"/>
        <v>0</v>
      </c>
      <c r="M26" s="111">
        <f t="shared" si="4"/>
        <v>5.1629117362240562</v>
      </c>
      <c r="N26" s="111">
        <f t="shared" si="10"/>
        <v>216308909</v>
      </c>
      <c r="O26" s="104">
        <f>O27+O34+O35+O38+O42+O71</f>
        <v>675084857.54999995</v>
      </c>
      <c r="P26" s="111">
        <f t="shared" si="5"/>
        <v>5.2917690574177421</v>
      </c>
      <c r="Q26" s="111">
        <f t="shared" si="11"/>
        <v>102.62855370948675</v>
      </c>
      <c r="R26" s="111">
        <f t="shared" si="12"/>
        <v>17290478.549999952</v>
      </c>
      <c r="S26" s="111">
        <f t="shared" si="13"/>
        <v>-124311284.20000017</v>
      </c>
    </row>
    <row r="27" spans="1:19" s="107" customFormat="1" ht="60.75" customHeight="1" x14ac:dyDescent="0.2">
      <c r="A27" s="137" t="s">
        <v>21</v>
      </c>
      <c r="B27" s="116">
        <f>B28+B29+B31+B32</f>
        <v>353990598</v>
      </c>
      <c r="C27" s="116">
        <f>C28+C29+C31+C32+C33</f>
        <v>463222470</v>
      </c>
      <c r="D27" s="113">
        <f t="shared" si="0"/>
        <v>4.8808833119491402</v>
      </c>
      <c r="E27" s="113">
        <f t="shared" si="1"/>
        <v>109231872</v>
      </c>
      <c r="F27" s="116">
        <f>F28+F29+F31+F32+F33</f>
        <v>498626340.44</v>
      </c>
      <c r="G27" s="113">
        <f t="shared" si="2"/>
        <v>5.3768334239936477</v>
      </c>
      <c r="H27" s="113">
        <f t="shared" si="8"/>
        <v>107.64295187148412</v>
      </c>
      <c r="I27" s="116">
        <f>I28+I29+I31+I32</f>
        <v>361728448</v>
      </c>
      <c r="J27" s="116">
        <f>J28+J29+J31+J32+J33+J30</f>
        <v>467527325</v>
      </c>
      <c r="K27" s="116">
        <f>K28+K29+K31+K32+K33+K30</f>
        <v>467527325</v>
      </c>
      <c r="L27" s="112">
        <f t="shared" si="9"/>
        <v>0</v>
      </c>
      <c r="M27" s="113">
        <f t="shared" si="4"/>
        <v>3.6695392820435435</v>
      </c>
      <c r="N27" s="113">
        <f t="shared" si="10"/>
        <v>105798877</v>
      </c>
      <c r="O27" s="116">
        <f>O28+O29+O31+O32+O33+O30</f>
        <v>469070989.48000002</v>
      </c>
      <c r="P27" s="113">
        <f t="shared" si="5"/>
        <v>3.6768938306081655</v>
      </c>
      <c r="Q27" s="113">
        <f t="shared" si="11"/>
        <v>100.33017631215459</v>
      </c>
      <c r="R27" s="113">
        <f t="shared" si="12"/>
        <v>1543664.4800000191</v>
      </c>
      <c r="S27" s="113">
        <f t="shared" si="13"/>
        <v>-29555350.959999979</v>
      </c>
    </row>
    <row r="28" spans="1:19" s="107" customFormat="1" ht="105.75" customHeight="1" x14ac:dyDescent="0.2">
      <c r="A28" s="137" t="s">
        <v>22</v>
      </c>
      <c r="B28" s="112">
        <v>2599300</v>
      </c>
      <c r="C28" s="112">
        <v>3313400</v>
      </c>
      <c r="D28" s="113">
        <f t="shared" si="0"/>
        <v>3.4912638771198386E-2</v>
      </c>
      <c r="E28" s="113">
        <f t="shared" si="1"/>
        <v>714100</v>
      </c>
      <c r="F28" s="112">
        <v>3313481</v>
      </c>
      <c r="G28" s="113">
        <f t="shared" si="2"/>
        <v>3.5730233133786302E-2</v>
      </c>
      <c r="H28" s="113">
        <f t="shared" si="8"/>
        <v>100.00244461882055</v>
      </c>
      <c r="I28" s="112">
        <v>3507000</v>
      </c>
      <c r="J28" s="112">
        <v>343500</v>
      </c>
      <c r="K28" s="112">
        <v>343500</v>
      </c>
      <c r="L28" s="112">
        <f t="shared" si="9"/>
        <v>0</v>
      </c>
      <c r="M28" s="113">
        <f t="shared" si="4"/>
        <v>2.696070744917331E-3</v>
      </c>
      <c r="N28" s="113">
        <f t="shared" si="10"/>
        <v>-3163500</v>
      </c>
      <c r="O28" s="112">
        <v>343519.24</v>
      </c>
      <c r="P28" s="113">
        <f t="shared" si="5"/>
        <v>2.6927347940477577E-3</v>
      </c>
      <c r="Q28" s="113">
        <f t="shared" si="11"/>
        <v>100.00560116448325</v>
      </c>
      <c r="R28" s="113">
        <f t="shared" si="12"/>
        <v>19.239999999990687</v>
      </c>
      <c r="S28" s="113">
        <f t="shared" si="13"/>
        <v>-2969961.76</v>
      </c>
    </row>
    <row r="29" spans="1:19" s="107" customFormat="1" ht="160.5" customHeight="1" x14ac:dyDescent="0.2">
      <c r="A29" s="137" t="s">
        <v>229</v>
      </c>
      <c r="B29" s="112">
        <f>302430000+583700+18248+44956600</f>
        <v>347988548</v>
      </c>
      <c r="C29" s="112">
        <f>365000000+523700+61961+88283100</f>
        <v>453868761</v>
      </c>
      <c r="D29" s="113">
        <f t="shared" si="0"/>
        <v>4.7823251350046396</v>
      </c>
      <c r="E29" s="113">
        <f t="shared" si="1"/>
        <v>105880213</v>
      </c>
      <c r="F29" s="112">
        <f>58597.37+99989020.63+388808317.8+657289.43</f>
        <v>489513225.23000002</v>
      </c>
      <c r="G29" s="113">
        <f t="shared" si="2"/>
        <v>5.2785640417251649</v>
      </c>
      <c r="H29" s="113">
        <f t="shared" si="8"/>
        <v>107.8534737996652</v>
      </c>
      <c r="I29" s="112">
        <f>302430000+583700+18248+50900000</f>
        <v>353931948</v>
      </c>
      <c r="J29" s="112">
        <f>406030000+1063700+218295+50900000</f>
        <v>458211995</v>
      </c>
      <c r="K29" s="112">
        <f>406030000+1063700+218295+50900000</f>
        <v>458211995</v>
      </c>
      <c r="L29" s="112">
        <f t="shared" si="9"/>
        <v>0</v>
      </c>
      <c r="M29" s="113">
        <f t="shared" si="4"/>
        <v>3.5964249044824057</v>
      </c>
      <c r="N29" s="113">
        <f t="shared" si="10"/>
        <v>104280047</v>
      </c>
      <c r="O29" s="112">
        <v>460195914.12</v>
      </c>
      <c r="P29" s="113">
        <f t="shared" si="5"/>
        <v>3.6073250221138644</v>
      </c>
      <c r="Q29" s="113">
        <f t="shared" si="11"/>
        <v>100.4329697043396</v>
      </c>
      <c r="R29" s="113">
        <f t="shared" si="12"/>
        <v>1983919.1200000048</v>
      </c>
      <c r="S29" s="113">
        <f t="shared" si="13"/>
        <v>-29317311.110000014</v>
      </c>
    </row>
    <row r="30" spans="1:19" s="107" customFormat="1" ht="89.25" customHeight="1" x14ac:dyDescent="0.2">
      <c r="A30" s="137" t="s">
        <v>186</v>
      </c>
      <c r="B30" s="112">
        <v>0</v>
      </c>
      <c r="C30" s="112">
        <v>0</v>
      </c>
      <c r="D30" s="113">
        <f t="shared" si="0"/>
        <v>0</v>
      </c>
      <c r="E30" s="113">
        <f t="shared" si="1"/>
        <v>0</v>
      </c>
      <c r="F30" s="112">
        <v>0</v>
      </c>
      <c r="G30" s="113">
        <f t="shared" si="2"/>
        <v>0</v>
      </c>
      <c r="H30" s="113">
        <v>0</v>
      </c>
      <c r="I30" s="112">
        <v>0</v>
      </c>
      <c r="J30" s="112">
        <v>20</v>
      </c>
      <c r="K30" s="112">
        <v>20</v>
      </c>
      <c r="L30" s="112">
        <f t="shared" si="9"/>
        <v>0</v>
      </c>
      <c r="M30" s="113">
        <f t="shared" si="4"/>
        <v>1.5697646258616191E-7</v>
      </c>
      <c r="N30" s="113">
        <f t="shared" si="10"/>
        <v>20</v>
      </c>
      <c r="O30" s="112">
        <v>70.400000000000006</v>
      </c>
      <c r="P30" s="113">
        <f t="shared" si="5"/>
        <v>5.5184253872057399E-7</v>
      </c>
      <c r="Q30" s="113">
        <f t="shared" si="11"/>
        <v>352.00000000000006</v>
      </c>
      <c r="R30" s="113">
        <f t="shared" si="12"/>
        <v>50.400000000000006</v>
      </c>
      <c r="S30" s="113">
        <f t="shared" si="13"/>
        <v>70.400000000000006</v>
      </c>
    </row>
    <row r="31" spans="1:19" s="107" customFormat="1" ht="93.75" customHeight="1" x14ac:dyDescent="0.2">
      <c r="A31" s="140" t="s">
        <v>25</v>
      </c>
      <c r="B31" s="112">
        <v>402750</v>
      </c>
      <c r="C31" s="112">
        <v>25250</v>
      </c>
      <c r="D31" s="113">
        <f t="shared" si="0"/>
        <v>2.6605424306535858E-4</v>
      </c>
      <c r="E31" s="113">
        <f t="shared" si="1"/>
        <v>-377500</v>
      </c>
      <c r="F31" s="112">
        <v>25250</v>
      </c>
      <c r="G31" s="113">
        <f t="shared" si="2"/>
        <v>2.722781228044175E-4</v>
      </c>
      <c r="H31" s="113">
        <f t="shared" si="8"/>
        <v>100</v>
      </c>
      <c r="I31" s="112">
        <v>289500</v>
      </c>
      <c r="J31" s="112">
        <v>61750</v>
      </c>
      <c r="K31" s="112">
        <v>61750</v>
      </c>
      <c r="L31" s="112">
        <f t="shared" si="9"/>
        <v>0</v>
      </c>
      <c r="M31" s="113">
        <f t="shared" si="4"/>
        <v>4.8466482823477492E-4</v>
      </c>
      <c r="N31" s="113">
        <f t="shared" si="10"/>
        <v>-227750</v>
      </c>
      <c r="O31" s="112">
        <v>61750</v>
      </c>
      <c r="P31" s="113">
        <f t="shared" si="5"/>
        <v>4.8403802224425337E-4</v>
      </c>
      <c r="Q31" s="113">
        <f t="shared" si="11"/>
        <v>100</v>
      </c>
      <c r="R31" s="113">
        <f t="shared" si="12"/>
        <v>0</v>
      </c>
      <c r="S31" s="113">
        <f t="shared" si="13"/>
        <v>36500</v>
      </c>
    </row>
    <row r="32" spans="1:19" s="107" customFormat="1" ht="135" customHeight="1" x14ac:dyDescent="0.2">
      <c r="A32" s="137" t="s">
        <v>191</v>
      </c>
      <c r="B32" s="112">
        <v>3000000</v>
      </c>
      <c r="C32" s="112">
        <v>5855800</v>
      </c>
      <c r="D32" s="113">
        <f t="shared" si="0"/>
        <v>6.1701403427410963E-2</v>
      </c>
      <c r="E32" s="113">
        <f t="shared" si="1"/>
        <v>2855800</v>
      </c>
      <c r="F32" s="112">
        <v>5774384.21</v>
      </c>
      <c r="G32" s="113">
        <f t="shared" si="2"/>
        <v>6.226687101189185E-2</v>
      </c>
      <c r="H32" s="113">
        <f t="shared" si="8"/>
        <v>98.609655555176062</v>
      </c>
      <c r="I32" s="112">
        <v>4000000</v>
      </c>
      <c r="J32" s="112">
        <v>7000000</v>
      </c>
      <c r="K32" s="112">
        <v>7000000</v>
      </c>
      <c r="L32" s="112">
        <f t="shared" si="9"/>
        <v>0</v>
      </c>
      <c r="M32" s="113">
        <f t="shared" si="4"/>
        <v>5.4941761905156677E-2</v>
      </c>
      <c r="N32" s="113">
        <f t="shared" si="10"/>
        <v>3000000</v>
      </c>
      <c r="O32" s="112">
        <v>6413970.25</v>
      </c>
      <c r="P32" s="113">
        <f t="shared" si="5"/>
        <v>5.0277011733497655E-2</v>
      </c>
      <c r="Q32" s="113">
        <f t="shared" si="11"/>
        <v>91.628146428571426</v>
      </c>
      <c r="R32" s="113">
        <f t="shared" si="12"/>
        <v>-586029.75</v>
      </c>
      <c r="S32" s="113">
        <f t="shared" si="13"/>
        <v>639586.04</v>
      </c>
    </row>
    <row r="33" spans="1:19" s="107" customFormat="1" ht="195.75" customHeight="1" x14ac:dyDescent="0.2">
      <c r="A33" s="137" t="s">
        <v>192</v>
      </c>
      <c r="B33" s="112">
        <v>0</v>
      </c>
      <c r="C33" s="112">
        <v>159259</v>
      </c>
      <c r="D33" s="113">
        <f t="shared" si="0"/>
        <v>1.6780805028255821E-3</v>
      </c>
      <c r="E33" s="113">
        <f t="shared" si="1"/>
        <v>159259</v>
      </c>
      <c r="F33" s="112">
        <v>0</v>
      </c>
      <c r="G33" s="113">
        <f t="shared" si="2"/>
        <v>0</v>
      </c>
      <c r="H33" s="113">
        <f t="shared" si="8"/>
        <v>0</v>
      </c>
      <c r="I33" s="112">
        <v>0</v>
      </c>
      <c r="J33" s="112">
        <v>1910060</v>
      </c>
      <c r="K33" s="112">
        <v>1910060</v>
      </c>
      <c r="L33" s="112">
        <f t="shared" si="9"/>
        <v>0</v>
      </c>
      <c r="M33" s="113">
        <f t="shared" si="4"/>
        <v>1.4991723106366225E-2</v>
      </c>
      <c r="N33" s="113">
        <f t="shared" si="10"/>
        <v>1910060</v>
      </c>
      <c r="O33" s="112">
        <v>2055765.47</v>
      </c>
      <c r="P33" s="113">
        <f t="shared" si="5"/>
        <v>1.6114472101972924E-2</v>
      </c>
      <c r="Q33" s="113">
        <f t="shared" si="11"/>
        <v>107.62831900568568</v>
      </c>
      <c r="R33" s="113">
        <f t="shared" si="12"/>
        <v>145705.46999999997</v>
      </c>
      <c r="S33" s="113">
        <f t="shared" si="13"/>
        <v>2055765.47</v>
      </c>
    </row>
    <row r="34" spans="1:19" s="107" customFormat="1" ht="30" x14ac:dyDescent="0.2">
      <c r="A34" s="137" t="s">
        <v>26</v>
      </c>
      <c r="B34" s="112">
        <v>4835649</v>
      </c>
      <c r="C34" s="112">
        <v>22022000</v>
      </c>
      <c r="D34" s="113">
        <f t="shared" si="0"/>
        <v>0.23204144715981492</v>
      </c>
      <c r="E34" s="113">
        <f t="shared" si="1"/>
        <v>17186351</v>
      </c>
      <c r="F34" s="112">
        <v>22214869.300000001</v>
      </c>
      <c r="G34" s="113">
        <f t="shared" si="2"/>
        <v>0.2395494222316627</v>
      </c>
      <c r="H34" s="113">
        <f t="shared" si="8"/>
        <v>100.8758028335301</v>
      </c>
      <c r="I34" s="112">
        <v>12229472</v>
      </c>
      <c r="J34" s="112">
        <v>12229472</v>
      </c>
      <c r="K34" s="112">
        <v>12229472</v>
      </c>
      <c r="L34" s="112">
        <f t="shared" si="9"/>
        <v>0</v>
      </c>
      <c r="M34" s="113">
        <f t="shared" si="4"/>
        <v>9.598696269282575E-2</v>
      </c>
      <c r="N34" s="113">
        <f t="shared" si="10"/>
        <v>0</v>
      </c>
      <c r="O34" s="112">
        <v>12776315.35</v>
      </c>
      <c r="P34" s="113">
        <f t="shared" si="5"/>
        <v>0.10014935082725339</v>
      </c>
      <c r="Q34" s="113">
        <f t="shared" si="11"/>
        <v>104.47152052026449</v>
      </c>
      <c r="R34" s="113">
        <f t="shared" si="12"/>
        <v>546843.34999999963</v>
      </c>
      <c r="S34" s="113">
        <f t="shared" si="13"/>
        <v>-9438553.9500000011</v>
      </c>
    </row>
    <row r="35" spans="1:19" s="107" customFormat="1" ht="54.75" customHeight="1" x14ac:dyDescent="0.2">
      <c r="A35" s="137" t="s">
        <v>162</v>
      </c>
      <c r="B35" s="112">
        <f>B36+B37</f>
        <v>8778840</v>
      </c>
      <c r="C35" s="112">
        <f>C36+C37</f>
        <v>142322028</v>
      </c>
      <c r="D35" s="113">
        <f t="shared" si="0"/>
        <v>1.4996189873689811</v>
      </c>
      <c r="E35" s="113">
        <f t="shared" si="1"/>
        <v>133543188</v>
      </c>
      <c r="F35" s="112">
        <f>F36+F37</f>
        <v>142301526.93000001</v>
      </c>
      <c r="G35" s="113">
        <f t="shared" si="2"/>
        <v>1.5344789158298084</v>
      </c>
      <c r="H35" s="113">
        <f t="shared" si="8"/>
        <v>99.985595293793878</v>
      </c>
      <c r="I35" s="112">
        <f>I36+I37</f>
        <v>7985900</v>
      </c>
      <c r="J35" s="112">
        <f>J36+J37</f>
        <v>12249830</v>
      </c>
      <c r="K35" s="112">
        <f>K36+K37</f>
        <v>12249830</v>
      </c>
      <c r="L35" s="112">
        <f t="shared" si="9"/>
        <v>0</v>
      </c>
      <c r="M35" s="113">
        <f t="shared" si="4"/>
        <v>9.6146749034092191E-2</v>
      </c>
      <c r="N35" s="113">
        <f t="shared" si="10"/>
        <v>4263930</v>
      </c>
      <c r="O35" s="112">
        <f>O36+O37</f>
        <v>10269055.120000001</v>
      </c>
      <c r="P35" s="113">
        <f t="shared" si="5"/>
        <v>8.0495759200032796E-2</v>
      </c>
      <c r="Q35" s="113">
        <f t="shared" si="11"/>
        <v>83.830184745420965</v>
      </c>
      <c r="R35" s="113">
        <f t="shared" si="12"/>
        <v>-1980774.879999999</v>
      </c>
      <c r="S35" s="113">
        <f t="shared" si="13"/>
        <v>-132032471.81</v>
      </c>
    </row>
    <row r="36" spans="1:19" s="107" customFormat="1" ht="37.5" customHeight="1" x14ac:dyDescent="0.2">
      <c r="A36" s="137" t="s">
        <v>164</v>
      </c>
      <c r="B36" s="112">
        <v>5624900</v>
      </c>
      <c r="C36" s="112">
        <v>5967000</v>
      </c>
      <c r="D36" s="113">
        <f t="shared" si="0"/>
        <v>6.2873095777069093E-2</v>
      </c>
      <c r="E36" s="113">
        <f t="shared" si="1"/>
        <v>342100</v>
      </c>
      <c r="F36" s="112">
        <f>118500+5506450.17</f>
        <v>5624950.1699999999</v>
      </c>
      <c r="G36" s="113">
        <f t="shared" si="2"/>
        <v>6.0655480124989662E-2</v>
      </c>
      <c r="H36" s="113">
        <f t="shared" si="8"/>
        <v>94.26764152840623</v>
      </c>
      <c r="I36" s="112">
        <v>5624900</v>
      </c>
      <c r="J36" s="112">
        <v>8972900</v>
      </c>
      <c r="K36" s="112">
        <v>8972900</v>
      </c>
      <c r="L36" s="112">
        <f t="shared" si="9"/>
        <v>0</v>
      </c>
      <c r="M36" s="113">
        <f t="shared" si="4"/>
        <v>7.0426705056968616E-2</v>
      </c>
      <c r="N36" s="113">
        <f t="shared" si="10"/>
        <v>3348000</v>
      </c>
      <c r="O36" s="112">
        <v>8441134.5600000005</v>
      </c>
      <c r="P36" s="113">
        <f t="shared" si="5"/>
        <v>6.6167288711255337E-2</v>
      </c>
      <c r="Q36" s="113">
        <f t="shared" si="11"/>
        <v>94.073650213420407</v>
      </c>
      <c r="R36" s="113">
        <f t="shared" si="12"/>
        <v>-531765.43999999948</v>
      </c>
      <c r="S36" s="113">
        <f t="shared" si="13"/>
        <v>2816184.3900000006</v>
      </c>
    </row>
    <row r="37" spans="1:19" s="107" customFormat="1" ht="32.25" customHeight="1" x14ac:dyDescent="0.2">
      <c r="A37" s="137" t="s">
        <v>165</v>
      </c>
      <c r="B37" s="112">
        <v>3153940</v>
      </c>
      <c r="C37" s="112">
        <v>136355028</v>
      </c>
      <c r="D37" s="113">
        <f t="shared" si="0"/>
        <v>1.436745891591912</v>
      </c>
      <c r="E37" s="113">
        <f t="shared" si="1"/>
        <v>133201088</v>
      </c>
      <c r="F37" s="112">
        <f>650990.61+724695.81+567455.89+129706326.52+478027.04+78200.82+428594.17+1720890.29+2321395.61</f>
        <v>136676576.76000002</v>
      </c>
      <c r="G37" s="113">
        <f t="shared" si="2"/>
        <v>1.473823435704819</v>
      </c>
      <c r="H37" s="113">
        <f t="shared" si="8"/>
        <v>100.23581731067522</v>
      </c>
      <c r="I37" s="112">
        <v>2361000</v>
      </c>
      <c r="J37" s="112">
        <v>3276930</v>
      </c>
      <c r="K37" s="112">
        <v>3276930</v>
      </c>
      <c r="L37" s="112">
        <f t="shared" si="9"/>
        <v>0</v>
      </c>
      <c r="M37" s="113">
        <f t="shared" si="4"/>
        <v>2.5720043977123581E-2</v>
      </c>
      <c r="N37" s="113">
        <f t="shared" si="10"/>
        <v>915930</v>
      </c>
      <c r="O37" s="112">
        <v>1827920.56</v>
      </c>
      <c r="P37" s="113">
        <f t="shared" si="5"/>
        <v>1.4328470488777462E-2</v>
      </c>
      <c r="Q37" s="113">
        <f t="shared" si="11"/>
        <v>55.781495485103441</v>
      </c>
      <c r="R37" s="113">
        <f t="shared" si="12"/>
        <v>-1449009.44</v>
      </c>
      <c r="S37" s="113">
        <f t="shared" si="13"/>
        <v>-134848656.20000002</v>
      </c>
    </row>
    <row r="38" spans="1:19" ht="30.75" customHeight="1" x14ac:dyDescent="0.2">
      <c r="A38" s="141" t="s">
        <v>28</v>
      </c>
      <c r="B38" s="112">
        <f>B39+B40+B41</f>
        <v>24658500</v>
      </c>
      <c r="C38" s="112">
        <f>C39+C40+C41</f>
        <v>73593345</v>
      </c>
      <c r="D38" s="113">
        <f t="shared" si="0"/>
        <v>0.77543848311377395</v>
      </c>
      <c r="E38" s="113">
        <f t="shared" si="1"/>
        <v>48934845</v>
      </c>
      <c r="F38" s="112">
        <f>F39+F40+F41</f>
        <v>83968946.770000011</v>
      </c>
      <c r="G38" s="113">
        <f t="shared" si="2"/>
        <v>0.90546167130295674</v>
      </c>
      <c r="H38" s="113">
        <f t="shared" si="8"/>
        <v>114.09855982222308</v>
      </c>
      <c r="I38" s="112">
        <f>I39+I40+I41</f>
        <v>39770000</v>
      </c>
      <c r="J38" s="112">
        <f>J39+J40+J41</f>
        <v>95354713</v>
      </c>
      <c r="K38" s="112">
        <f>K39+K40+K41</f>
        <v>95354713</v>
      </c>
      <c r="L38" s="112">
        <f t="shared" si="9"/>
        <v>0</v>
      </c>
      <c r="M38" s="113">
        <f t="shared" si="4"/>
        <v>0.7484222768829355</v>
      </c>
      <c r="N38" s="113">
        <f t="shared" si="10"/>
        <v>55584713</v>
      </c>
      <c r="O38" s="112">
        <f>O39+O40+O41</f>
        <v>109692822.15000001</v>
      </c>
      <c r="P38" s="113">
        <f t="shared" si="5"/>
        <v>0.85984610020852847</v>
      </c>
      <c r="Q38" s="113">
        <f t="shared" si="11"/>
        <v>115.03660249074423</v>
      </c>
      <c r="R38" s="113">
        <f t="shared" si="12"/>
        <v>14338109.150000006</v>
      </c>
      <c r="S38" s="113">
        <f t="shared" si="13"/>
        <v>25723875.379999995</v>
      </c>
    </row>
    <row r="39" spans="1:19" s="107" customFormat="1" ht="18" customHeight="1" x14ac:dyDescent="0.2">
      <c r="A39" s="137" t="s">
        <v>167</v>
      </c>
      <c r="B39" s="112">
        <v>15258700</v>
      </c>
      <c r="C39" s="112">
        <v>42445613</v>
      </c>
      <c r="D39" s="113">
        <f t="shared" si="0"/>
        <v>0.44724100745188688</v>
      </c>
      <c r="E39" s="113">
        <f t="shared" si="1"/>
        <v>27186913</v>
      </c>
      <c r="F39" s="112">
        <v>45413628.710000001</v>
      </c>
      <c r="G39" s="113">
        <f t="shared" si="2"/>
        <v>0.48970841880774652</v>
      </c>
      <c r="H39" s="113">
        <f t="shared" si="8"/>
        <v>106.99251465634387</v>
      </c>
      <c r="I39" s="112">
        <v>25430000</v>
      </c>
      <c r="J39" s="112">
        <v>39430000</v>
      </c>
      <c r="K39" s="112">
        <v>39430000</v>
      </c>
      <c r="L39" s="112">
        <f t="shared" si="9"/>
        <v>0</v>
      </c>
      <c r="M39" s="113">
        <f t="shared" si="4"/>
        <v>0.30947909598861828</v>
      </c>
      <c r="N39" s="113">
        <f t="shared" si="10"/>
        <v>14000000</v>
      </c>
      <c r="O39" s="112">
        <v>49994292.200000003</v>
      </c>
      <c r="P39" s="113">
        <f t="shared" si="5"/>
        <v>0.39188887967594022</v>
      </c>
      <c r="Q39" s="113">
        <f t="shared" si="11"/>
        <v>126.79252396652296</v>
      </c>
      <c r="R39" s="113">
        <f t="shared" si="12"/>
        <v>10564292.200000003</v>
      </c>
      <c r="S39" s="113">
        <f t="shared" si="13"/>
        <v>4580663.4900000021</v>
      </c>
    </row>
    <row r="40" spans="1:19" s="107" customFormat="1" ht="144.75" customHeight="1" x14ac:dyDescent="0.2">
      <c r="A40" s="142" t="s">
        <v>193</v>
      </c>
      <c r="B40" s="112">
        <v>1899800</v>
      </c>
      <c r="C40" s="112">
        <v>9530532</v>
      </c>
      <c r="D40" s="113">
        <f t="shared" si="0"/>
        <v>0.1004213258324823</v>
      </c>
      <c r="E40" s="113">
        <f t="shared" si="1"/>
        <v>7630732</v>
      </c>
      <c r="F40" s="112">
        <f>9096076.8+141350+38382</f>
        <v>9275808.8000000007</v>
      </c>
      <c r="G40" s="113">
        <f t="shared" si="2"/>
        <v>0.10002375475472065</v>
      </c>
      <c r="H40" s="113">
        <f t="shared" si="8"/>
        <v>97.327292956993389</v>
      </c>
      <c r="I40" s="112">
        <v>6840000</v>
      </c>
      <c r="J40" s="112">
        <v>41973024</v>
      </c>
      <c r="K40" s="112">
        <v>41973024</v>
      </c>
      <c r="L40" s="112">
        <f t="shared" si="9"/>
        <v>0</v>
      </c>
      <c r="M40" s="113">
        <f t="shared" si="4"/>
        <v>0.32943884157820386</v>
      </c>
      <c r="N40" s="113">
        <f t="shared" si="10"/>
        <v>35133024</v>
      </c>
      <c r="O40" s="112">
        <v>43412068.700000003</v>
      </c>
      <c r="P40" s="113">
        <f t="shared" si="5"/>
        <v>0.34029298583124956</v>
      </c>
      <c r="Q40" s="113">
        <f t="shared" si="11"/>
        <v>103.42849898067865</v>
      </c>
      <c r="R40" s="113">
        <f t="shared" si="12"/>
        <v>1439044.700000003</v>
      </c>
      <c r="S40" s="113">
        <f t="shared" si="13"/>
        <v>34136259.900000006</v>
      </c>
    </row>
    <row r="41" spans="1:19" s="107" customFormat="1" ht="63.75" customHeight="1" x14ac:dyDescent="0.2">
      <c r="A41" s="140" t="s">
        <v>194</v>
      </c>
      <c r="B41" s="112">
        <v>7500000</v>
      </c>
      <c r="C41" s="112">
        <v>21617200</v>
      </c>
      <c r="D41" s="113">
        <f t="shared" si="0"/>
        <v>0.22777614982940475</v>
      </c>
      <c r="E41" s="113">
        <f t="shared" si="1"/>
        <v>14117200</v>
      </c>
      <c r="F41" s="112">
        <v>29279509.260000002</v>
      </c>
      <c r="G41" s="113">
        <f t="shared" si="2"/>
        <v>0.31572949774048947</v>
      </c>
      <c r="H41" s="113">
        <f t="shared" si="8"/>
        <v>135.44542891771368</v>
      </c>
      <c r="I41" s="112">
        <v>7500000</v>
      </c>
      <c r="J41" s="112">
        <v>13951689</v>
      </c>
      <c r="K41" s="112">
        <v>13951689</v>
      </c>
      <c r="L41" s="112">
        <f t="shared" si="9"/>
        <v>0</v>
      </c>
      <c r="M41" s="113">
        <f t="shared" si="4"/>
        <v>0.10950433931611334</v>
      </c>
      <c r="N41" s="113">
        <f t="shared" si="10"/>
        <v>6451689</v>
      </c>
      <c r="O41" s="112">
        <v>16286461.25</v>
      </c>
      <c r="P41" s="113">
        <f t="shared" si="5"/>
        <v>0.12766423470133881</v>
      </c>
      <c r="Q41" s="113">
        <f t="shared" si="11"/>
        <v>116.73469248060218</v>
      </c>
      <c r="R41" s="113">
        <f t="shared" si="12"/>
        <v>2334772.25</v>
      </c>
      <c r="S41" s="113">
        <f t="shared" si="13"/>
        <v>-12993048.010000002</v>
      </c>
    </row>
    <row r="42" spans="1:19" s="107" customFormat="1" ht="37.5" customHeight="1" x14ac:dyDescent="0.2">
      <c r="A42" s="137" t="s">
        <v>30</v>
      </c>
      <c r="B42" s="112">
        <f>SUM(B43:B70)</f>
        <v>14136450</v>
      </c>
      <c r="C42" s="112">
        <f>SUM(C43:C70)</f>
        <v>48196886</v>
      </c>
      <c r="D42" s="113">
        <f t="shared" si="0"/>
        <v>0.50784103060742092</v>
      </c>
      <c r="E42" s="113">
        <f t="shared" si="1"/>
        <v>34060436</v>
      </c>
      <c r="F42" s="112">
        <f>SUM(F43:F70)</f>
        <v>51478069.470000006</v>
      </c>
      <c r="G42" s="113">
        <f t="shared" si="2"/>
        <v>0.55510305429255435</v>
      </c>
      <c r="H42" s="113">
        <f t="shared" si="8"/>
        <v>106.80787441329717</v>
      </c>
      <c r="I42" s="112">
        <f>SUM(I43:I70)</f>
        <v>19771650</v>
      </c>
      <c r="J42" s="112">
        <f>SUM(J43:J70)</f>
        <v>69640199</v>
      </c>
      <c r="K42" s="112">
        <f>SUM(K43:K70)</f>
        <v>69640199</v>
      </c>
      <c r="L42" s="112">
        <f t="shared" si="9"/>
        <v>0</v>
      </c>
      <c r="M42" s="113">
        <f t="shared" si="4"/>
        <v>0.54659360464081852</v>
      </c>
      <c r="N42" s="113">
        <f t="shared" si="10"/>
        <v>49868549</v>
      </c>
      <c r="O42" s="112">
        <f>SUM(O43:O70)</f>
        <v>73322239.679999992</v>
      </c>
      <c r="P42" s="113">
        <f t="shared" si="5"/>
        <v>0.57474901831945457</v>
      </c>
      <c r="Q42" s="113">
        <f t="shared" si="11"/>
        <v>105.28723457553588</v>
      </c>
      <c r="R42" s="113">
        <f t="shared" si="12"/>
        <v>3682040.6799999923</v>
      </c>
      <c r="S42" s="113">
        <f t="shared" si="13"/>
        <v>21844170.209999986</v>
      </c>
    </row>
    <row r="43" spans="1:19" s="107" customFormat="1" ht="168" customHeight="1" x14ac:dyDescent="0.2">
      <c r="A43" s="110" t="s">
        <v>195</v>
      </c>
      <c r="B43" s="112">
        <v>43800</v>
      </c>
      <c r="C43" s="112">
        <v>74556</v>
      </c>
      <c r="D43" s="113">
        <f t="shared" si="0"/>
        <v>7.8558178795963866E-4</v>
      </c>
      <c r="E43" s="113">
        <f t="shared" si="1"/>
        <v>30756</v>
      </c>
      <c r="F43" s="112">
        <v>89460.74</v>
      </c>
      <c r="G43" s="113">
        <f t="shared" si="2"/>
        <v>9.6468128126313128E-4</v>
      </c>
      <c r="H43" s="113">
        <f t="shared" si="8"/>
        <v>119.99133537206932</v>
      </c>
      <c r="I43" s="112">
        <v>11500</v>
      </c>
      <c r="J43" s="112">
        <v>76236</v>
      </c>
      <c r="K43" s="112">
        <v>76236</v>
      </c>
      <c r="L43" s="112">
        <f t="shared" si="9"/>
        <v>0</v>
      </c>
      <c r="M43" s="113">
        <f t="shared" si="4"/>
        <v>5.9836288008593204E-4</v>
      </c>
      <c r="N43" s="113">
        <f t="shared" si="10"/>
        <v>64736</v>
      </c>
      <c r="O43" s="112">
        <v>99605.67</v>
      </c>
      <c r="P43" s="113">
        <f t="shared" si="5"/>
        <v>7.8077621880346185E-4</v>
      </c>
      <c r="Q43" s="113">
        <f t="shared" si="11"/>
        <v>130.65437588540846</v>
      </c>
      <c r="R43" s="113">
        <f t="shared" si="12"/>
        <v>23369.67</v>
      </c>
      <c r="S43" s="113">
        <f t="shared" si="13"/>
        <v>10144.929999999993</v>
      </c>
    </row>
    <row r="44" spans="1:19" s="107" customFormat="1" ht="204" customHeight="1" x14ac:dyDescent="0.2">
      <c r="A44" s="110" t="s">
        <v>221</v>
      </c>
      <c r="B44" s="112">
        <v>74500</v>
      </c>
      <c r="C44" s="112">
        <v>188004</v>
      </c>
      <c r="D44" s="113">
        <f t="shared" si="0"/>
        <v>1.9809608678518684E-3</v>
      </c>
      <c r="E44" s="113">
        <f t="shared" si="1"/>
        <v>113504</v>
      </c>
      <c r="F44" s="112">
        <v>209976.72</v>
      </c>
      <c r="G44" s="113">
        <f t="shared" si="2"/>
        <v>2.2642402833357935E-3</v>
      </c>
      <c r="H44" s="113">
        <f t="shared" si="8"/>
        <v>111.68736835386481</v>
      </c>
      <c r="I44" s="112">
        <v>109600</v>
      </c>
      <c r="J44" s="112">
        <v>275924</v>
      </c>
      <c r="K44" s="112">
        <v>275924</v>
      </c>
      <c r="L44" s="112">
        <f t="shared" si="9"/>
        <v>0</v>
      </c>
      <c r="M44" s="113">
        <f t="shared" si="4"/>
        <v>2.1656786731312073E-3</v>
      </c>
      <c r="N44" s="113">
        <f t="shared" si="10"/>
        <v>166324</v>
      </c>
      <c r="O44" s="112">
        <v>359120.78</v>
      </c>
      <c r="P44" s="113">
        <f t="shared" si="5"/>
        <v>2.8150301554334197E-3</v>
      </c>
      <c r="Q44" s="113">
        <f t="shared" si="11"/>
        <v>130.15206361171917</v>
      </c>
      <c r="R44" s="113">
        <f t="shared" si="12"/>
        <v>83196.780000000028</v>
      </c>
      <c r="S44" s="113">
        <f t="shared" si="13"/>
        <v>149144.06000000003</v>
      </c>
    </row>
    <row r="45" spans="1:19" s="107" customFormat="1" ht="186" customHeight="1" x14ac:dyDescent="0.2">
      <c r="A45" s="110" t="s">
        <v>196</v>
      </c>
      <c r="B45" s="112">
        <v>0</v>
      </c>
      <c r="C45" s="112">
        <v>0</v>
      </c>
      <c r="D45" s="113">
        <f t="shared" si="0"/>
        <v>0</v>
      </c>
      <c r="E45" s="113">
        <f t="shared" si="1"/>
        <v>0</v>
      </c>
      <c r="F45" s="112">
        <f>2000+50000</f>
        <v>52000</v>
      </c>
      <c r="G45" s="113">
        <f t="shared" si="2"/>
        <v>5.6073118359721617E-4</v>
      </c>
      <c r="H45" s="113">
        <v>0</v>
      </c>
      <c r="I45" s="112">
        <v>0</v>
      </c>
      <c r="J45" s="112">
        <v>22000</v>
      </c>
      <c r="K45" s="112">
        <v>22000</v>
      </c>
      <c r="L45" s="112">
        <f t="shared" si="9"/>
        <v>0</v>
      </c>
      <c r="M45" s="113">
        <f t="shared" si="4"/>
        <v>1.7267410884477813E-4</v>
      </c>
      <c r="N45" s="113">
        <f t="shared" si="10"/>
        <v>22000</v>
      </c>
      <c r="O45" s="112">
        <v>22000</v>
      </c>
      <c r="P45" s="113">
        <f t="shared" si="5"/>
        <v>1.7245079335017935E-4</v>
      </c>
      <c r="Q45" s="113">
        <f t="shared" si="11"/>
        <v>100</v>
      </c>
      <c r="R45" s="113">
        <f t="shared" si="12"/>
        <v>0</v>
      </c>
      <c r="S45" s="113">
        <f t="shared" si="13"/>
        <v>-30000</v>
      </c>
    </row>
    <row r="46" spans="1:19" s="107" customFormat="1" ht="173.25" customHeight="1" x14ac:dyDescent="0.2">
      <c r="A46" s="110" t="s">
        <v>197</v>
      </c>
      <c r="B46" s="112">
        <v>12400</v>
      </c>
      <c r="C46" s="112">
        <v>6890</v>
      </c>
      <c r="D46" s="113">
        <f t="shared" si="0"/>
        <v>7.2598563751299832E-5</v>
      </c>
      <c r="E46" s="113">
        <f t="shared" si="1"/>
        <v>-5510</v>
      </c>
      <c r="F46" s="112">
        <v>6890</v>
      </c>
      <c r="G46" s="113">
        <f t="shared" si="2"/>
        <v>7.4296881826631147E-5</v>
      </c>
      <c r="H46" s="113">
        <f t="shared" si="8"/>
        <v>100</v>
      </c>
      <c r="I46" s="112">
        <v>1800</v>
      </c>
      <c r="J46" s="112">
        <v>53504</v>
      </c>
      <c r="K46" s="112">
        <v>53504</v>
      </c>
      <c r="L46" s="112">
        <f t="shared" si="9"/>
        <v>0</v>
      </c>
      <c r="M46" s="113">
        <f t="shared" si="4"/>
        <v>4.1994343271050039E-4</v>
      </c>
      <c r="N46" s="113">
        <f t="shared" si="10"/>
        <v>51704</v>
      </c>
      <c r="O46" s="112">
        <v>43051.79</v>
      </c>
      <c r="P46" s="113">
        <f t="shared" si="5"/>
        <v>3.3746887912024172E-4</v>
      </c>
      <c r="Q46" s="113">
        <f t="shared" si="11"/>
        <v>80.464619467703344</v>
      </c>
      <c r="R46" s="113">
        <f t="shared" si="12"/>
        <v>-10452.209999999999</v>
      </c>
      <c r="S46" s="113">
        <f t="shared" si="13"/>
        <v>36161.79</v>
      </c>
    </row>
    <row r="47" spans="1:19" s="107" customFormat="1" ht="198.75" customHeight="1" x14ac:dyDescent="0.2">
      <c r="A47" s="110" t="s">
        <v>198</v>
      </c>
      <c r="B47" s="112">
        <v>0</v>
      </c>
      <c r="C47" s="112">
        <v>698500</v>
      </c>
      <c r="D47" s="113">
        <f t="shared" si="0"/>
        <v>7.3599559913327915E-3</v>
      </c>
      <c r="E47" s="113">
        <f t="shared" si="1"/>
        <v>698500</v>
      </c>
      <c r="F47" s="112">
        <v>726500</v>
      </c>
      <c r="G47" s="113">
        <f t="shared" si="2"/>
        <v>7.8340616323726454E-3</v>
      </c>
      <c r="H47" s="113">
        <f t="shared" si="8"/>
        <v>104.00858983536151</v>
      </c>
      <c r="I47" s="112">
        <v>0</v>
      </c>
      <c r="J47" s="112">
        <v>67300</v>
      </c>
      <c r="K47" s="112">
        <v>67300</v>
      </c>
      <c r="L47" s="112">
        <f t="shared" si="9"/>
        <v>0</v>
      </c>
      <c r="M47" s="113">
        <f t="shared" si="4"/>
        <v>5.2822579660243495E-4</v>
      </c>
      <c r="N47" s="113">
        <f t="shared" si="10"/>
        <v>67300</v>
      </c>
      <c r="O47" s="112">
        <v>88300</v>
      </c>
      <c r="P47" s="113">
        <f t="shared" si="5"/>
        <v>6.9215477512821991E-4</v>
      </c>
      <c r="Q47" s="113">
        <f t="shared" si="11"/>
        <v>131.2035661218425</v>
      </c>
      <c r="R47" s="113">
        <f t="shared" si="12"/>
        <v>21000</v>
      </c>
      <c r="S47" s="113">
        <f t="shared" si="13"/>
        <v>-638200</v>
      </c>
    </row>
    <row r="48" spans="1:19" s="107" customFormat="1" ht="186.75" customHeight="1" x14ac:dyDescent="0.2">
      <c r="A48" s="110" t="s">
        <v>199</v>
      </c>
      <c r="B48" s="112">
        <v>0</v>
      </c>
      <c r="C48" s="112">
        <v>306000</v>
      </c>
      <c r="D48" s="113">
        <f t="shared" si="0"/>
        <v>3.2242613219009794E-3</v>
      </c>
      <c r="E48" s="113">
        <f t="shared" si="1"/>
        <v>306000</v>
      </c>
      <c r="F48" s="112">
        <v>256000</v>
      </c>
      <c r="G48" s="113">
        <f t="shared" si="2"/>
        <v>2.7605227500170641E-3</v>
      </c>
      <c r="H48" s="113">
        <f t="shared" si="8"/>
        <v>83.66013071895425</v>
      </c>
      <c r="I48" s="112">
        <v>4000</v>
      </c>
      <c r="J48" s="112">
        <v>6000</v>
      </c>
      <c r="K48" s="112">
        <v>6000</v>
      </c>
      <c r="L48" s="112">
        <f t="shared" si="9"/>
        <v>0</v>
      </c>
      <c r="M48" s="113">
        <f t="shared" si="4"/>
        <v>4.7092938775848578E-5</v>
      </c>
      <c r="N48" s="113">
        <f t="shared" si="10"/>
        <v>2000</v>
      </c>
      <c r="O48" s="112">
        <v>6000</v>
      </c>
      <c r="P48" s="113">
        <f t="shared" si="5"/>
        <v>4.7032034550048918E-5</v>
      </c>
      <c r="Q48" s="113">
        <f t="shared" si="11"/>
        <v>100</v>
      </c>
      <c r="R48" s="113">
        <f t="shared" si="12"/>
        <v>0</v>
      </c>
      <c r="S48" s="113">
        <f t="shared" si="13"/>
        <v>-250000</v>
      </c>
    </row>
    <row r="49" spans="1:19" s="107" customFormat="1" ht="201.75" customHeight="1" x14ac:dyDescent="0.2">
      <c r="A49" s="110" t="s">
        <v>222</v>
      </c>
      <c r="B49" s="112">
        <v>13150</v>
      </c>
      <c r="C49" s="112">
        <v>701800</v>
      </c>
      <c r="D49" s="113">
        <f t="shared" si="0"/>
        <v>7.3947274369611359E-3</v>
      </c>
      <c r="E49" s="113">
        <f t="shared" si="1"/>
        <v>688650</v>
      </c>
      <c r="F49" s="112">
        <f>3500+700000</f>
        <v>703500</v>
      </c>
      <c r="G49" s="113">
        <f t="shared" si="2"/>
        <v>7.5860459165507993E-3</v>
      </c>
      <c r="H49" s="113">
        <f t="shared" si="8"/>
        <v>100.24223425477344</v>
      </c>
      <c r="I49" s="112">
        <v>1608650</v>
      </c>
      <c r="J49" s="112">
        <v>318800</v>
      </c>
      <c r="K49" s="112">
        <v>318800</v>
      </c>
      <c r="L49" s="112">
        <f t="shared" si="9"/>
        <v>0</v>
      </c>
      <c r="M49" s="113">
        <f t="shared" si="4"/>
        <v>2.5022048136234213E-3</v>
      </c>
      <c r="N49" s="113">
        <f t="shared" si="10"/>
        <v>-1289850</v>
      </c>
      <c r="O49" s="112">
        <v>355163.43</v>
      </c>
      <c r="P49" s="113">
        <f t="shared" si="5"/>
        <v>2.7840097851123133E-3</v>
      </c>
      <c r="Q49" s="113">
        <f t="shared" si="11"/>
        <v>111.40634567126726</v>
      </c>
      <c r="R49" s="113">
        <f t="shared" si="12"/>
        <v>36363.429999999993</v>
      </c>
      <c r="S49" s="113">
        <f t="shared" si="13"/>
        <v>-348336.57</v>
      </c>
    </row>
    <row r="50" spans="1:19" s="107" customFormat="1" ht="198" customHeight="1" x14ac:dyDescent="0.2">
      <c r="A50" s="110" t="s">
        <v>200</v>
      </c>
      <c r="B50" s="112">
        <v>0</v>
      </c>
      <c r="C50" s="112">
        <v>0</v>
      </c>
      <c r="D50" s="113">
        <f t="shared" si="0"/>
        <v>0</v>
      </c>
      <c r="E50" s="113">
        <f t="shared" si="1"/>
        <v>0</v>
      </c>
      <c r="F50" s="112">
        <v>0</v>
      </c>
      <c r="G50" s="113">
        <f t="shared" si="2"/>
        <v>0</v>
      </c>
      <c r="H50" s="113">
        <v>0</v>
      </c>
      <c r="I50" s="112">
        <v>0</v>
      </c>
      <c r="J50" s="112">
        <v>40200</v>
      </c>
      <c r="K50" s="112">
        <v>40200</v>
      </c>
      <c r="L50" s="112">
        <f t="shared" si="9"/>
        <v>0</v>
      </c>
      <c r="M50" s="113">
        <f t="shared" si="4"/>
        <v>3.1552268979818547E-4</v>
      </c>
      <c r="N50" s="113">
        <f t="shared" si="10"/>
        <v>40200</v>
      </c>
      <c r="O50" s="112">
        <v>40108.11</v>
      </c>
      <c r="P50" s="113">
        <f t="shared" si="5"/>
        <v>3.1439433587619373E-4</v>
      </c>
      <c r="Q50" s="113">
        <f t="shared" si="11"/>
        <v>99.771417910447752</v>
      </c>
      <c r="R50" s="113">
        <f t="shared" si="12"/>
        <v>-91.889999999999418</v>
      </c>
      <c r="S50" s="113">
        <f t="shared" si="13"/>
        <v>40108.11</v>
      </c>
    </row>
    <row r="51" spans="1:19" s="107" customFormat="1" ht="170.25" customHeight="1" x14ac:dyDescent="0.2">
      <c r="A51" s="110" t="s">
        <v>201</v>
      </c>
      <c r="B51" s="112">
        <v>0</v>
      </c>
      <c r="C51" s="112">
        <v>6000</v>
      </c>
      <c r="D51" s="113">
        <f t="shared" si="0"/>
        <v>6.3220810233352532E-5</v>
      </c>
      <c r="E51" s="113">
        <f t="shared" si="1"/>
        <v>6000</v>
      </c>
      <c r="F51" s="112">
        <v>5000</v>
      </c>
      <c r="G51" s="113">
        <f t="shared" si="2"/>
        <v>5.3916459961270789E-5</v>
      </c>
      <c r="H51" s="113">
        <f t="shared" si="8"/>
        <v>83.333333333333343</v>
      </c>
      <c r="I51" s="112">
        <v>50000</v>
      </c>
      <c r="J51" s="112">
        <v>0</v>
      </c>
      <c r="K51" s="112">
        <v>0</v>
      </c>
      <c r="L51" s="112">
        <f t="shared" si="9"/>
        <v>0</v>
      </c>
      <c r="M51" s="113">
        <f t="shared" si="4"/>
        <v>0</v>
      </c>
      <c r="N51" s="113">
        <f t="shared" si="10"/>
        <v>-50000</v>
      </c>
      <c r="O51" s="112">
        <v>0</v>
      </c>
      <c r="P51" s="113">
        <f t="shared" si="5"/>
        <v>0</v>
      </c>
      <c r="Q51" s="113">
        <v>0</v>
      </c>
      <c r="R51" s="113">
        <f t="shared" si="12"/>
        <v>0</v>
      </c>
      <c r="S51" s="113">
        <f t="shared" si="13"/>
        <v>-5000</v>
      </c>
    </row>
    <row r="52" spans="1:19" s="107" customFormat="1" ht="228.75" customHeight="1" x14ac:dyDescent="0.2">
      <c r="A52" s="110" t="s">
        <v>202</v>
      </c>
      <c r="B52" s="112">
        <v>0</v>
      </c>
      <c r="C52" s="112">
        <v>50000</v>
      </c>
      <c r="D52" s="113">
        <f t="shared" si="0"/>
        <v>5.2684008527793781E-4</v>
      </c>
      <c r="E52" s="113">
        <f t="shared" si="1"/>
        <v>50000</v>
      </c>
      <c r="F52" s="112">
        <v>50000</v>
      </c>
      <c r="G52" s="113">
        <f t="shared" si="2"/>
        <v>5.3916459961270786E-4</v>
      </c>
      <c r="H52" s="113">
        <f t="shared" si="8"/>
        <v>100</v>
      </c>
      <c r="I52" s="112">
        <v>75000</v>
      </c>
      <c r="J52" s="112">
        <v>300000</v>
      </c>
      <c r="K52" s="112">
        <v>300000</v>
      </c>
      <c r="L52" s="112">
        <f t="shared" si="9"/>
        <v>0</v>
      </c>
      <c r="M52" s="113">
        <f t="shared" si="4"/>
        <v>2.3546469387924289E-3</v>
      </c>
      <c r="N52" s="113">
        <f t="shared" si="10"/>
        <v>225000</v>
      </c>
      <c r="O52" s="112">
        <v>300000</v>
      </c>
      <c r="P52" s="113">
        <f t="shared" si="5"/>
        <v>2.3516017275024459E-3</v>
      </c>
      <c r="Q52" s="113">
        <f t="shared" si="11"/>
        <v>100</v>
      </c>
      <c r="R52" s="113">
        <f t="shared" si="12"/>
        <v>0</v>
      </c>
      <c r="S52" s="113">
        <f t="shared" si="13"/>
        <v>250000</v>
      </c>
    </row>
    <row r="53" spans="1:19" s="107" customFormat="1" ht="212.25" customHeight="1" x14ac:dyDescent="0.2">
      <c r="A53" s="110" t="s">
        <v>203</v>
      </c>
      <c r="B53" s="112">
        <v>19000</v>
      </c>
      <c r="C53" s="112">
        <v>687718</v>
      </c>
      <c r="D53" s="113">
        <f t="shared" si="0"/>
        <v>7.2463481953434572E-3</v>
      </c>
      <c r="E53" s="113">
        <f t="shared" si="1"/>
        <v>668718</v>
      </c>
      <c r="F53" s="112">
        <v>758365.73</v>
      </c>
      <c r="G53" s="113">
        <f t="shared" si="2"/>
        <v>8.1776791035089776E-3</v>
      </c>
      <c r="H53" s="113">
        <f t="shared" si="8"/>
        <v>110.27277605064867</v>
      </c>
      <c r="I53" s="112">
        <v>482900</v>
      </c>
      <c r="J53" s="112">
        <v>482900</v>
      </c>
      <c r="K53" s="112">
        <v>482900</v>
      </c>
      <c r="L53" s="112">
        <f t="shared" si="9"/>
        <v>0</v>
      </c>
      <c r="M53" s="113">
        <f t="shared" si="4"/>
        <v>3.7901966891428799E-3</v>
      </c>
      <c r="N53" s="113">
        <f t="shared" si="10"/>
        <v>0</v>
      </c>
      <c r="O53" s="112">
        <v>372557.48</v>
      </c>
      <c r="P53" s="113">
        <f t="shared" si="5"/>
        <v>2.9203560452065263E-3</v>
      </c>
      <c r="Q53" s="113">
        <f t="shared" si="11"/>
        <v>77.150026920687509</v>
      </c>
      <c r="R53" s="113">
        <f t="shared" si="12"/>
        <v>-110342.52000000002</v>
      </c>
      <c r="S53" s="113">
        <f t="shared" si="13"/>
        <v>-385808.25</v>
      </c>
    </row>
    <row r="54" spans="1:19" s="107" customFormat="1" ht="180" x14ac:dyDescent="0.2">
      <c r="A54" s="110" t="s">
        <v>223</v>
      </c>
      <c r="B54" s="116">
        <v>441000</v>
      </c>
      <c r="C54" s="112">
        <v>104247</v>
      </c>
      <c r="D54" s="113">
        <f t="shared" si="0"/>
        <v>1.0984299673993836E-3</v>
      </c>
      <c r="E54" s="113">
        <f t="shared" si="1"/>
        <v>-336753</v>
      </c>
      <c r="F54" s="112">
        <v>69683.81</v>
      </c>
      <c r="G54" s="113">
        <f t="shared" si="2"/>
        <v>7.5142087036276009E-4</v>
      </c>
      <c r="H54" s="113">
        <f t="shared" si="8"/>
        <v>66.844906807869762</v>
      </c>
      <c r="I54" s="116">
        <v>58000</v>
      </c>
      <c r="J54" s="112">
        <v>69135</v>
      </c>
      <c r="K54" s="112">
        <v>69135</v>
      </c>
      <c r="L54" s="112">
        <f t="shared" si="9"/>
        <v>0</v>
      </c>
      <c r="M54" s="113">
        <f t="shared" si="4"/>
        <v>5.4262838704471526E-4</v>
      </c>
      <c r="N54" s="113">
        <f t="shared" si="10"/>
        <v>11135</v>
      </c>
      <c r="O54" s="112">
        <v>65934.25</v>
      </c>
      <c r="P54" s="113">
        <f t="shared" si="5"/>
        <v>5.1683698733859381E-4</v>
      </c>
      <c r="Q54" s="113">
        <f t="shared" si="11"/>
        <v>95.370290012294788</v>
      </c>
      <c r="R54" s="113">
        <f t="shared" si="12"/>
        <v>-3200.75</v>
      </c>
      <c r="S54" s="113">
        <f t="shared" si="13"/>
        <v>-3749.5599999999977</v>
      </c>
    </row>
    <row r="55" spans="1:19" s="107" customFormat="1" ht="222" customHeight="1" x14ac:dyDescent="0.2">
      <c r="A55" s="110" t="s">
        <v>204</v>
      </c>
      <c r="B55" s="112">
        <v>80000</v>
      </c>
      <c r="C55" s="112">
        <v>80000</v>
      </c>
      <c r="D55" s="113">
        <f t="shared" si="0"/>
        <v>8.4294413644470047E-4</v>
      </c>
      <c r="E55" s="113">
        <f t="shared" si="1"/>
        <v>0</v>
      </c>
      <c r="F55" s="112">
        <v>70309.240000000005</v>
      </c>
      <c r="G55" s="113">
        <f t="shared" si="2"/>
        <v>7.5816506467347577E-4</v>
      </c>
      <c r="H55" s="113">
        <f t="shared" si="8"/>
        <v>87.886550000000014</v>
      </c>
      <c r="I55" s="112">
        <v>80000</v>
      </c>
      <c r="J55" s="112">
        <v>447617</v>
      </c>
      <c r="K55" s="112">
        <v>447617</v>
      </c>
      <c r="L55" s="112">
        <f t="shared" si="9"/>
        <v>0</v>
      </c>
      <c r="M55" s="113">
        <f t="shared" si="4"/>
        <v>3.5132666626715024E-3</v>
      </c>
      <c r="N55" s="113">
        <f t="shared" si="10"/>
        <v>367617</v>
      </c>
      <c r="O55" s="112">
        <v>452332.62</v>
      </c>
      <c r="P55" s="113">
        <f t="shared" si="5"/>
        <v>3.5456872353256913E-3</v>
      </c>
      <c r="Q55" s="113">
        <f t="shared" si="11"/>
        <v>101.05349439364457</v>
      </c>
      <c r="R55" s="113">
        <f t="shared" si="12"/>
        <v>4715.6199999999953</v>
      </c>
      <c r="S55" s="113">
        <f t="shared" si="13"/>
        <v>382023.38</v>
      </c>
    </row>
    <row r="56" spans="1:19" s="107" customFormat="1" ht="183.75" customHeight="1" x14ac:dyDescent="0.2">
      <c r="A56" s="110" t="s">
        <v>205</v>
      </c>
      <c r="B56" s="112">
        <v>200000</v>
      </c>
      <c r="C56" s="112">
        <v>53600</v>
      </c>
      <c r="D56" s="113">
        <f t="shared" si="0"/>
        <v>5.6477257141794926E-4</v>
      </c>
      <c r="E56" s="113">
        <f t="shared" si="1"/>
        <v>-146400</v>
      </c>
      <c r="F56" s="112">
        <f>50000+11000.02</f>
        <v>61000.020000000004</v>
      </c>
      <c r="G56" s="113">
        <f t="shared" si="2"/>
        <v>6.5778102719334347E-4</v>
      </c>
      <c r="H56" s="113">
        <f t="shared" si="8"/>
        <v>113.80600746268657</v>
      </c>
      <c r="I56" s="112">
        <v>53000</v>
      </c>
      <c r="J56" s="112">
        <v>14200</v>
      </c>
      <c r="K56" s="112">
        <v>14200</v>
      </c>
      <c r="L56" s="112">
        <f t="shared" si="9"/>
        <v>0</v>
      </c>
      <c r="M56" s="113">
        <f t="shared" si="4"/>
        <v>1.1145328843617497E-4</v>
      </c>
      <c r="N56" s="113">
        <f t="shared" si="10"/>
        <v>-38800</v>
      </c>
      <c r="O56" s="112">
        <v>13357.02</v>
      </c>
      <c r="P56" s="113">
        <f t="shared" si="5"/>
        <v>1.0470130435428239E-4</v>
      </c>
      <c r="Q56" s="113">
        <f t="shared" si="11"/>
        <v>94.063521126760563</v>
      </c>
      <c r="R56" s="113">
        <f t="shared" si="12"/>
        <v>-842.97999999999956</v>
      </c>
      <c r="S56" s="113">
        <f t="shared" si="13"/>
        <v>-47643</v>
      </c>
    </row>
    <row r="57" spans="1:19" s="107" customFormat="1" ht="228" customHeight="1" x14ac:dyDescent="0.2">
      <c r="A57" s="110" t="s">
        <v>206</v>
      </c>
      <c r="B57" s="112">
        <v>700</v>
      </c>
      <c r="C57" s="112">
        <v>0</v>
      </c>
      <c r="D57" s="113">
        <f t="shared" si="0"/>
        <v>0</v>
      </c>
      <c r="E57" s="113">
        <f t="shared" si="1"/>
        <v>-700</v>
      </c>
      <c r="F57" s="112">
        <v>0</v>
      </c>
      <c r="G57" s="113">
        <f t="shared" si="2"/>
        <v>0</v>
      </c>
      <c r="H57" s="113">
        <v>0</v>
      </c>
      <c r="I57" s="112">
        <v>17500</v>
      </c>
      <c r="J57" s="112">
        <v>35000</v>
      </c>
      <c r="K57" s="112">
        <v>35000</v>
      </c>
      <c r="L57" s="112">
        <f t="shared" si="9"/>
        <v>0</v>
      </c>
      <c r="M57" s="113">
        <f t="shared" si="4"/>
        <v>2.747088095257834E-4</v>
      </c>
      <c r="N57" s="113">
        <f t="shared" si="10"/>
        <v>17500</v>
      </c>
      <c r="O57" s="112">
        <v>35000</v>
      </c>
      <c r="P57" s="113">
        <f t="shared" si="5"/>
        <v>2.7435353487528536E-4</v>
      </c>
      <c r="Q57" s="113">
        <f t="shared" si="11"/>
        <v>100</v>
      </c>
      <c r="R57" s="113">
        <f t="shared" si="12"/>
        <v>0</v>
      </c>
      <c r="S57" s="113">
        <f t="shared" si="13"/>
        <v>35000</v>
      </c>
    </row>
    <row r="58" spans="1:19" s="107" customFormat="1" ht="186" customHeight="1" x14ac:dyDescent="0.2">
      <c r="A58" s="110" t="s">
        <v>207</v>
      </c>
      <c r="B58" s="112">
        <v>26500</v>
      </c>
      <c r="C58" s="112">
        <v>18500</v>
      </c>
      <c r="D58" s="113">
        <f t="shared" si="0"/>
        <v>1.9493083155283701E-4</v>
      </c>
      <c r="E58" s="113">
        <f t="shared" si="1"/>
        <v>-8000</v>
      </c>
      <c r="F58" s="112">
        <v>20500</v>
      </c>
      <c r="G58" s="113">
        <f t="shared" si="2"/>
        <v>2.2105748584121023E-4</v>
      </c>
      <c r="H58" s="113">
        <f t="shared" si="8"/>
        <v>110.81081081081081</v>
      </c>
      <c r="I58" s="112">
        <v>13500</v>
      </c>
      <c r="J58" s="112">
        <v>0</v>
      </c>
      <c r="K58" s="112">
        <v>0</v>
      </c>
      <c r="L58" s="112">
        <f t="shared" si="9"/>
        <v>0</v>
      </c>
      <c r="M58" s="113">
        <f t="shared" si="4"/>
        <v>0</v>
      </c>
      <c r="N58" s="113">
        <f t="shared" si="10"/>
        <v>-13500</v>
      </c>
      <c r="O58" s="112">
        <v>0</v>
      </c>
      <c r="P58" s="113">
        <f t="shared" si="5"/>
        <v>0</v>
      </c>
      <c r="Q58" s="113">
        <v>0</v>
      </c>
      <c r="R58" s="113">
        <f t="shared" si="12"/>
        <v>0</v>
      </c>
      <c r="S58" s="113">
        <f t="shared" si="13"/>
        <v>-20500</v>
      </c>
    </row>
    <row r="59" spans="1:19" s="107" customFormat="1" ht="166.5" customHeight="1" x14ac:dyDescent="0.2">
      <c r="A59" s="110" t="s">
        <v>208</v>
      </c>
      <c r="B59" s="112">
        <v>401500</v>
      </c>
      <c r="C59" s="112">
        <v>2001677</v>
      </c>
      <c r="D59" s="113">
        <f t="shared" si="0"/>
        <v>2.1091273627577737E-2</v>
      </c>
      <c r="E59" s="113">
        <f t="shared" si="1"/>
        <v>1600177</v>
      </c>
      <c r="F59" s="112">
        <f>3000+3368901.43</f>
        <v>3371901.43</v>
      </c>
      <c r="G59" s="113">
        <f t="shared" si="2"/>
        <v>3.6360197688789349E-2</v>
      </c>
      <c r="H59" s="113">
        <f t="shared" si="8"/>
        <v>168.45382296944013</v>
      </c>
      <c r="I59" s="112">
        <v>1107300</v>
      </c>
      <c r="J59" s="112">
        <v>1292884</v>
      </c>
      <c r="K59" s="112">
        <v>1292884</v>
      </c>
      <c r="L59" s="112">
        <f t="shared" si="9"/>
        <v>0</v>
      </c>
      <c r="M59" s="113">
        <f t="shared" si="4"/>
        <v>1.014761784271237E-2</v>
      </c>
      <c r="N59" s="113">
        <f t="shared" si="10"/>
        <v>185584</v>
      </c>
      <c r="O59" s="112">
        <v>1084115.27</v>
      </c>
      <c r="P59" s="113">
        <f t="shared" si="5"/>
        <v>8.4980244724792674E-3</v>
      </c>
      <c r="Q59" s="113">
        <f t="shared" si="11"/>
        <v>83.852477871177925</v>
      </c>
      <c r="R59" s="113">
        <f t="shared" si="12"/>
        <v>-208768.72999999998</v>
      </c>
      <c r="S59" s="113">
        <f t="shared" si="13"/>
        <v>-2287786.16</v>
      </c>
    </row>
    <row r="60" spans="1:19" s="107" customFormat="1" ht="147.75" customHeight="1" x14ac:dyDescent="0.2">
      <c r="A60" s="110" t="s">
        <v>209</v>
      </c>
      <c r="B60" s="112">
        <v>0</v>
      </c>
      <c r="C60" s="112">
        <v>0</v>
      </c>
      <c r="D60" s="113">
        <f t="shared" si="0"/>
        <v>0</v>
      </c>
      <c r="E60" s="113">
        <f t="shared" si="1"/>
        <v>0</v>
      </c>
      <c r="F60" s="112">
        <v>0</v>
      </c>
      <c r="G60" s="113">
        <f t="shared" si="2"/>
        <v>0</v>
      </c>
      <c r="H60" s="113">
        <v>0</v>
      </c>
      <c r="I60" s="112">
        <v>0</v>
      </c>
      <c r="J60" s="112">
        <v>20000</v>
      </c>
      <c r="K60" s="112">
        <v>20000</v>
      </c>
      <c r="L60" s="112">
        <f t="shared" si="9"/>
        <v>0</v>
      </c>
      <c r="M60" s="113">
        <f t="shared" si="4"/>
        <v>1.5697646258616194E-4</v>
      </c>
      <c r="N60" s="113">
        <f t="shared" si="10"/>
        <v>20000</v>
      </c>
      <c r="O60" s="112">
        <v>20000</v>
      </c>
      <c r="P60" s="113">
        <f t="shared" si="5"/>
        <v>1.5677344850016306E-4</v>
      </c>
      <c r="Q60" s="113">
        <f t="shared" si="11"/>
        <v>100</v>
      </c>
      <c r="R60" s="113">
        <f t="shared" si="12"/>
        <v>0</v>
      </c>
      <c r="S60" s="113">
        <f t="shared" si="13"/>
        <v>20000</v>
      </c>
    </row>
    <row r="61" spans="1:19" s="107" customFormat="1" ht="195" customHeight="1" x14ac:dyDescent="0.2">
      <c r="A61" s="110" t="s">
        <v>224</v>
      </c>
      <c r="B61" s="112">
        <v>749700</v>
      </c>
      <c r="C61" s="112">
        <v>5667759</v>
      </c>
      <c r="D61" s="113">
        <f t="shared" si="0"/>
        <v>5.9720052697895994E-2</v>
      </c>
      <c r="E61" s="113">
        <f t="shared" si="1"/>
        <v>4918059</v>
      </c>
      <c r="F61" s="112">
        <f>847000+4000+1000+4901604.44</f>
        <v>5753604.4400000004</v>
      </c>
      <c r="G61" s="113">
        <f t="shared" si="2"/>
        <v>6.2042796684449973E-2</v>
      </c>
      <c r="H61" s="113">
        <f t="shared" si="8"/>
        <v>101.51462756267513</v>
      </c>
      <c r="I61" s="112">
        <v>4267700</v>
      </c>
      <c r="J61" s="112">
        <v>4729148</v>
      </c>
      <c r="K61" s="112">
        <v>4729148</v>
      </c>
      <c r="L61" s="112">
        <f t="shared" si="9"/>
        <v>0</v>
      </c>
      <c r="M61" s="113">
        <f t="shared" si="4"/>
        <v>3.7118246204321123E-2</v>
      </c>
      <c r="N61" s="113">
        <f t="shared" si="10"/>
        <v>461448</v>
      </c>
      <c r="O61" s="112">
        <v>4307997.7</v>
      </c>
      <c r="P61" s="113">
        <f t="shared" si="5"/>
        <v>3.3768982777988545E-2</v>
      </c>
      <c r="Q61" s="113">
        <f t="shared" si="11"/>
        <v>91.094584056155568</v>
      </c>
      <c r="R61" s="113">
        <f t="shared" si="12"/>
        <v>-421150.29999999981</v>
      </c>
      <c r="S61" s="113">
        <f t="shared" si="13"/>
        <v>-1445606.7400000002</v>
      </c>
    </row>
    <row r="62" spans="1:19" s="107" customFormat="1" ht="289.5" customHeight="1" x14ac:dyDescent="0.2">
      <c r="A62" s="110" t="s">
        <v>210</v>
      </c>
      <c r="B62" s="112">
        <v>0</v>
      </c>
      <c r="C62" s="112">
        <v>0</v>
      </c>
      <c r="D62" s="113">
        <f t="shared" si="0"/>
        <v>0</v>
      </c>
      <c r="E62" s="113">
        <f t="shared" si="1"/>
        <v>0</v>
      </c>
      <c r="F62" s="112">
        <v>0</v>
      </c>
      <c r="G62" s="113">
        <f t="shared" si="2"/>
        <v>0</v>
      </c>
      <c r="H62" s="113">
        <v>0</v>
      </c>
      <c r="I62" s="112">
        <v>0</v>
      </c>
      <c r="J62" s="112">
        <v>508040</v>
      </c>
      <c r="K62" s="112">
        <v>508040</v>
      </c>
      <c r="L62" s="112">
        <f t="shared" si="9"/>
        <v>0</v>
      </c>
      <c r="M62" s="113">
        <f t="shared" si="4"/>
        <v>3.9875161026136858E-3</v>
      </c>
      <c r="N62" s="113">
        <f t="shared" si="10"/>
        <v>508040</v>
      </c>
      <c r="O62" s="112">
        <v>496509.44</v>
      </c>
      <c r="P62" s="113">
        <f t="shared" si="5"/>
        <v>3.8919748560842398E-3</v>
      </c>
      <c r="Q62" s="113">
        <f t="shared" si="11"/>
        <v>97.730383434375241</v>
      </c>
      <c r="R62" s="113">
        <f t="shared" si="12"/>
        <v>-11530.559999999998</v>
      </c>
      <c r="S62" s="113">
        <f t="shared" si="13"/>
        <v>496509.44</v>
      </c>
    </row>
    <row r="63" spans="1:19" s="107" customFormat="1" ht="132.75" customHeight="1" x14ac:dyDescent="0.2">
      <c r="A63" s="110" t="s">
        <v>211</v>
      </c>
      <c r="B63" s="112">
        <v>494000</v>
      </c>
      <c r="C63" s="112">
        <v>307530</v>
      </c>
      <c r="D63" s="113">
        <f t="shared" si="0"/>
        <v>3.2403826285104845E-3</v>
      </c>
      <c r="E63" s="113">
        <f t="shared" si="1"/>
        <v>-186470</v>
      </c>
      <c r="F63" s="112">
        <f>8929.86+314419.85+500</f>
        <v>323849.70999999996</v>
      </c>
      <c r="G63" s="113">
        <f t="shared" si="2"/>
        <v>3.4921659845368307E-3</v>
      </c>
      <c r="H63" s="113">
        <f t="shared" si="8"/>
        <v>105.30670503690696</v>
      </c>
      <c r="I63" s="112">
        <v>451000</v>
      </c>
      <c r="J63" s="112">
        <v>330500</v>
      </c>
      <c r="K63" s="112">
        <v>330500</v>
      </c>
      <c r="L63" s="112">
        <f t="shared" si="9"/>
        <v>0</v>
      </c>
      <c r="M63" s="113">
        <f t="shared" si="4"/>
        <v>2.5940360442363261E-3</v>
      </c>
      <c r="N63" s="113">
        <f t="shared" si="10"/>
        <v>-120500</v>
      </c>
      <c r="O63" s="112">
        <v>433084.3</v>
      </c>
      <c r="P63" s="113">
        <f t="shared" si="5"/>
        <v>3.3948059601139583E-3</v>
      </c>
      <c r="Q63" s="113">
        <f t="shared" si="11"/>
        <v>131.03912254160363</v>
      </c>
      <c r="R63" s="113">
        <f t="shared" si="12"/>
        <v>102584.29999999999</v>
      </c>
      <c r="S63" s="113">
        <f t="shared" si="13"/>
        <v>109234.59000000003</v>
      </c>
    </row>
    <row r="64" spans="1:19" s="107" customFormat="1" ht="147.75" customHeight="1" x14ac:dyDescent="0.2">
      <c r="A64" s="110" t="s">
        <v>225</v>
      </c>
      <c r="B64" s="112">
        <v>1015700</v>
      </c>
      <c r="C64" s="112">
        <v>18957000</v>
      </c>
      <c r="D64" s="113">
        <f t="shared" si="0"/>
        <v>0.19974614993227735</v>
      </c>
      <c r="E64" s="113">
        <f t="shared" si="1"/>
        <v>17941300</v>
      </c>
      <c r="F64" s="112">
        <f>19706040.66+1706701.34+13250</f>
        <v>21425992</v>
      </c>
      <c r="G64" s="113">
        <f t="shared" si="2"/>
        <v>0.23104272795970165</v>
      </c>
      <c r="H64" s="113">
        <f t="shared" si="8"/>
        <v>113.02417049111146</v>
      </c>
      <c r="I64" s="112">
        <v>815700</v>
      </c>
      <c r="J64" s="112">
        <v>1873409</v>
      </c>
      <c r="K64" s="112">
        <v>1873409</v>
      </c>
      <c r="L64" s="112">
        <f t="shared" si="9"/>
        <v>0</v>
      </c>
      <c r="M64" s="113">
        <f t="shared" si="4"/>
        <v>1.4704055889853952E-2</v>
      </c>
      <c r="N64" s="113">
        <f t="shared" si="10"/>
        <v>1057709</v>
      </c>
      <c r="O64" s="112">
        <v>1800054.75</v>
      </c>
      <c r="P64" s="113">
        <f t="shared" si="5"/>
        <v>1.4110039532329945E-2</v>
      </c>
      <c r="Q64" s="113">
        <f t="shared" si="11"/>
        <v>96.084450859369213</v>
      </c>
      <c r="R64" s="113">
        <f t="shared" si="12"/>
        <v>-73354.25</v>
      </c>
      <c r="S64" s="113">
        <f t="shared" si="13"/>
        <v>-19625937.25</v>
      </c>
    </row>
    <row r="65" spans="1:19" s="107" customFormat="1" ht="134.25" customHeight="1" x14ac:dyDescent="0.2">
      <c r="A65" s="110" t="s">
        <v>212</v>
      </c>
      <c r="B65" s="112">
        <v>1564500</v>
      </c>
      <c r="C65" s="112">
        <v>4656662</v>
      </c>
      <c r="D65" s="113">
        <f t="shared" si="0"/>
        <v>4.9066324103810649E-2</v>
      </c>
      <c r="E65" s="113">
        <f t="shared" si="1"/>
        <v>3092162</v>
      </c>
      <c r="F65" s="112">
        <f>58807.01+72.61+1589371.94+1097.81+1660557.04+1945876.58</f>
        <v>5255782.99</v>
      </c>
      <c r="G65" s="113">
        <f t="shared" si="2"/>
        <v>5.6674642629092623E-2</v>
      </c>
      <c r="H65" s="113">
        <f t="shared" si="8"/>
        <v>112.86588955779912</v>
      </c>
      <c r="I65" s="112">
        <v>1564500</v>
      </c>
      <c r="J65" s="112">
        <v>56187402</v>
      </c>
      <c r="K65" s="112">
        <v>56187402</v>
      </c>
      <c r="L65" s="112">
        <f t="shared" si="9"/>
        <v>0</v>
      </c>
      <c r="M65" s="113">
        <f t="shared" si="4"/>
        <v>0.44100498039333202</v>
      </c>
      <c r="N65" s="113">
        <f t="shared" si="10"/>
        <v>54622902</v>
      </c>
      <c r="O65" s="112">
        <v>59848311.049999997</v>
      </c>
      <c r="P65" s="113">
        <f t="shared" si="5"/>
        <v>0.46913130551094567</v>
      </c>
      <c r="Q65" s="113">
        <f t="shared" si="11"/>
        <v>106.51553358882833</v>
      </c>
      <c r="R65" s="113">
        <f t="shared" si="12"/>
        <v>3660909.049999997</v>
      </c>
      <c r="S65" s="113">
        <f t="shared" si="13"/>
        <v>54592528.059999995</v>
      </c>
    </row>
    <row r="66" spans="1:19" s="107" customFormat="1" ht="135.75" customHeight="1" x14ac:dyDescent="0.2">
      <c r="A66" s="110" t="s">
        <v>226</v>
      </c>
      <c r="B66" s="112">
        <v>0</v>
      </c>
      <c r="C66" s="112">
        <v>73550</v>
      </c>
      <c r="D66" s="113">
        <f t="shared" si="0"/>
        <v>7.7498176544384643E-4</v>
      </c>
      <c r="E66" s="113">
        <f t="shared" si="1"/>
        <v>73550</v>
      </c>
      <c r="F66" s="112">
        <v>73550</v>
      </c>
      <c r="G66" s="113">
        <f t="shared" si="2"/>
        <v>7.9311112603029329E-4</v>
      </c>
      <c r="H66" s="113">
        <f t="shared" si="8"/>
        <v>100</v>
      </c>
      <c r="I66" s="112">
        <v>0</v>
      </c>
      <c r="J66" s="112">
        <v>0</v>
      </c>
      <c r="K66" s="112">
        <v>0</v>
      </c>
      <c r="L66" s="112">
        <f t="shared" si="9"/>
        <v>0</v>
      </c>
      <c r="M66" s="113">
        <f t="shared" si="4"/>
        <v>0</v>
      </c>
      <c r="N66" s="113">
        <f t="shared" si="10"/>
        <v>0</v>
      </c>
      <c r="O66" s="112">
        <v>0</v>
      </c>
      <c r="P66" s="113">
        <f t="shared" si="5"/>
        <v>0</v>
      </c>
      <c r="Q66" s="113">
        <v>0</v>
      </c>
      <c r="R66" s="113">
        <f t="shared" si="12"/>
        <v>0</v>
      </c>
      <c r="S66" s="113">
        <f t="shared" si="13"/>
        <v>-73550</v>
      </c>
    </row>
    <row r="67" spans="1:19" s="107" customFormat="1" ht="171.75" customHeight="1" x14ac:dyDescent="0.2">
      <c r="A67" s="110" t="s">
        <v>213</v>
      </c>
      <c r="B67" s="112">
        <v>0</v>
      </c>
      <c r="C67" s="112">
        <v>0</v>
      </c>
      <c r="D67" s="113">
        <f t="shared" si="0"/>
        <v>0</v>
      </c>
      <c r="E67" s="113">
        <f t="shared" si="1"/>
        <v>0</v>
      </c>
      <c r="F67" s="112">
        <v>0</v>
      </c>
      <c r="G67" s="113">
        <f t="shared" si="2"/>
        <v>0</v>
      </c>
      <c r="H67" s="113">
        <v>0</v>
      </c>
      <c r="I67" s="112">
        <v>0</v>
      </c>
      <c r="J67" s="112">
        <v>0</v>
      </c>
      <c r="K67" s="112">
        <v>0</v>
      </c>
      <c r="L67" s="112">
        <f t="shared" si="9"/>
        <v>0</v>
      </c>
      <c r="M67" s="113">
        <f t="shared" si="4"/>
        <v>0</v>
      </c>
      <c r="N67" s="113">
        <f t="shared" si="10"/>
        <v>0</v>
      </c>
      <c r="O67" s="112">
        <v>335720.52</v>
      </c>
      <c r="P67" s="113">
        <f t="shared" si="5"/>
        <v>2.6316031826333981E-3</v>
      </c>
      <c r="Q67" s="113">
        <v>0</v>
      </c>
      <c r="R67" s="113">
        <f t="shared" si="12"/>
        <v>335720.52</v>
      </c>
      <c r="S67" s="113">
        <f t="shared" si="13"/>
        <v>335720.52</v>
      </c>
    </row>
    <row r="68" spans="1:19" s="107" customFormat="1" ht="138.75" customHeight="1" x14ac:dyDescent="0.2">
      <c r="A68" s="110" t="s">
        <v>214</v>
      </c>
      <c r="B68" s="112">
        <v>0</v>
      </c>
      <c r="C68" s="112">
        <v>939931</v>
      </c>
      <c r="D68" s="113">
        <f t="shared" si="0"/>
        <v>9.9038665639075464E-3</v>
      </c>
      <c r="E68" s="113">
        <f t="shared" si="1"/>
        <v>939931</v>
      </c>
      <c r="F68" s="112">
        <f>481846.39-50000</f>
        <v>431846.39</v>
      </c>
      <c r="G68" s="113">
        <f t="shared" si="2"/>
        <v>4.6567257191708665E-3</v>
      </c>
      <c r="H68" s="113">
        <f t="shared" si="8"/>
        <v>45.944477839330759</v>
      </c>
      <c r="I68" s="112">
        <v>0</v>
      </c>
      <c r="J68" s="112">
        <v>0</v>
      </c>
      <c r="K68" s="112">
        <v>0</v>
      </c>
      <c r="L68" s="112">
        <f t="shared" si="9"/>
        <v>0</v>
      </c>
      <c r="M68" s="113">
        <f t="shared" si="4"/>
        <v>0</v>
      </c>
      <c r="N68" s="113">
        <f t="shared" si="10"/>
        <v>0</v>
      </c>
      <c r="O68" s="112">
        <v>77979.360000000001</v>
      </c>
      <c r="P68" s="113">
        <f t="shared" si="5"/>
        <v>6.1125465895178375E-4</v>
      </c>
      <c r="Q68" s="113">
        <v>0</v>
      </c>
      <c r="R68" s="113">
        <f t="shared" si="12"/>
        <v>77979.360000000001</v>
      </c>
      <c r="S68" s="113">
        <f t="shared" si="13"/>
        <v>-353867.03</v>
      </c>
    </row>
    <row r="69" spans="1:19" s="107" customFormat="1" ht="138" customHeight="1" x14ac:dyDescent="0.2">
      <c r="A69" s="110" t="s">
        <v>215</v>
      </c>
      <c r="B69" s="112">
        <v>0</v>
      </c>
      <c r="C69" s="112">
        <v>116962</v>
      </c>
      <c r="D69" s="113">
        <f t="shared" si="0"/>
        <v>1.2324054010855632E-3</v>
      </c>
      <c r="E69" s="113">
        <f t="shared" si="1"/>
        <v>116962</v>
      </c>
      <c r="F69" s="112">
        <v>137074.44</v>
      </c>
      <c r="G69" s="113">
        <f t="shared" si="2"/>
        <v>1.478113711194723E-3</v>
      </c>
      <c r="H69" s="113">
        <f t="shared" si="8"/>
        <v>117.19570458781486</v>
      </c>
      <c r="I69" s="112">
        <v>0</v>
      </c>
      <c r="J69" s="112">
        <v>190000</v>
      </c>
      <c r="K69" s="112">
        <v>190000</v>
      </c>
      <c r="L69" s="112">
        <f t="shared" si="9"/>
        <v>0</v>
      </c>
      <c r="M69" s="113">
        <f t="shared" si="4"/>
        <v>1.4912763945685384E-3</v>
      </c>
      <c r="N69" s="113">
        <f t="shared" si="10"/>
        <v>190000</v>
      </c>
      <c r="O69" s="112">
        <v>249575.37</v>
      </c>
      <c r="P69" s="113">
        <f t="shared" si="5"/>
        <v>1.956339570780207E-3</v>
      </c>
      <c r="Q69" s="113">
        <f t="shared" si="11"/>
        <v>131.35545789473684</v>
      </c>
      <c r="R69" s="113">
        <f t="shared" si="12"/>
        <v>59575.369999999995</v>
      </c>
      <c r="S69" s="113">
        <f t="shared" si="13"/>
        <v>112500.93</v>
      </c>
    </row>
    <row r="70" spans="1:19" s="107" customFormat="1" ht="109.5" customHeight="1" x14ac:dyDescent="0.2">
      <c r="A70" s="110" t="s">
        <v>227</v>
      </c>
      <c r="B70" s="112">
        <v>9000000</v>
      </c>
      <c r="C70" s="112">
        <v>12500000</v>
      </c>
      <c r="D70" s="113">
        <f t="shared" si="0"/>
        <v>0.13171002131948445</v>
      </c>
      <c r="E70" s="113">
        <f t="shared" si="1"/>
        <v>3500000</v>
      </c>
      <c r="F70" s="112">
        <v>11625281.810000001</v>
      </c>
      <c r="G70" s="113">
        <f t="shared" si="2"/>
        <v>0.12535880824947093</v>
      </c>
      <c r="H70" s="113">
        <f t="shared" si="8"/>
        <v>93.002254480000005</v>
      </c>
      <c r="I70" s="112">
        <v>9000000</v>
      </c>
      <c r="J70" s="112">
        <v>2300000</v>
      </c>
      <c r="K70" s="112">
        <v>2300000</v>
      </c>
      <c r="L70" s="112">
        <f t="shared" si="9"/>
        <v>0</v>
      </c>
      <c r="M70" s="113">
        <f t="shared" si="4"/>
        <v>1.8052293197408621E-2</v>
      </c>
      <c r="N70" s="113">
        <f t="shared" si="10"/>
        <v>-6700000</v>
      </c>
      <c r="O70" s="112">
        <v>2416360.77</v>
      </c>
      <c r="P70" s="113">
        <f t="shared" si="5"/>
        <v>1.8941060536670468E-2</v>
      </c>
      <c r="Q70" s="113">
        <f t="shared" si="11"/>
        <v>105.05916391304349</v>
      </c>
      <c r="R70" s="113">
        <f t="shared" si="12"/>
        <v>116360.77000000002</v>
      </c>
      <c r="S70" s="113">
        <f t="shared" si="13"/>
        <v>-9208921.040000001</v>
      </c>
    </row>
    <row r="71" spans="1:19" s="107" customFormat="1" x14ac:dyDescent="0.2">
      <c r="A71" s="110" t="s">
        <v>39</v>
      </c>
      <c r="B71" s="112">
        <v>0</v>
      </c>
      <c r="C71" s="112">
        <f>C72+C73+C74</f>
        <v>359855</v>
      </c>
      <c r="D71" s="113">
        <f t="shared" si="0"/>
        <v>3.7917207777538463E-3</v>
      </c>
      <c r="E71" s="113">
        <f t="shared" si="1"/>
        <v>359855</v>
      </c>
      <c r="F71" s="112">
        <f>F72+F73+F74</f>
        <v>806388.84</v>
      </c>
      <c r="G71" s="113">
        <f t="shared" si="2"/>
        <v>8.6955263210151176E-3</v>
      </c>
      <c r="H71" s="113">
        <f t="shared" si="8"/>
        <v>224.08715732725679</v>
      </c>
      <c r="I71" s="112">
        <v>0</v>
      </c>
      <c r="J71" s="112">
        <f>J72+J73+J74</f>
        <v>792840</v>
      </c>
      <c r="K71" s="112">
        <f>K72+K73+K74</f>
        <v>792840</v>
      </c>
      <c r="L71" s="112">
        <f t="shared" si="9"/>
        <v>0</v>
      </c>
      <c r="M71" s="113">
        <f t="shared" si="4"/>
        <v>6.2228609298406309E-3</v>
      </c>
      <c r="N71" s="113">
        <f t="shared" si="10"/>
        <v>792840</v>
      </c>
      <c r="O71" s="112">
        <f>O72+O73+O74</f>
        <v>-46564.229999999996</v>
      </c>
      <c r="P71" s="113">
        <f t="shared" si="5"/>
        <v>-3.6500174569273737E-4</v>
      </c>
      <c r="Q71" s="113">
        <f t="shared" si="11"/>
        <v>-5.8730929317390643</v>
      </c>
      <c r="R71" s="113">
        <f t="shared" si="12"/>
        <v>-839404.23</v>
      </c>
      <c r="S71" s="113">
        <f t="shared" si="13"/>
        <v>-852953.07</v>
      </c>
    </row>
    <row r="72" spans="1:19" s="107" customFormat="1" ht="49.5" customHeight="1" x14ac:dyDescent="0.2">
      <c r="A72" s="110" t="s">
        <v>58</v>
      </c>
      <c r="B72" s="112">
        <v>0</v>
      </c>
      <c r="C72" s="112">
        <v>0</v>
      </c>
      <c r="D72" s="113">
        <f t="shared" si="0"/>
        <v>0</v>
      </c>
      <c r="E72" s="113">
        <f t="shared" si="1"/>
        <v>0</v>
      </c>
      <c r="F72" s="112">
        <v>102949.24</v>
      </c>
      <c r="G72" s="113">
        <f t="shared" si="2"/>
        <v>1.1101317153006515E-3</v>
      </c>
      <c r="H72" s="113">
        <v>0</v>
      </c>
      <c r="I72" s="112">
        <v>0</v>
      </c>
      <c r="J72" s="112">
        <v>0</v>
      </c>
      <c r="K72" s="112">
        <v>0</v>
      </c>
      <c r="L72" s="112">
        <f t="shared" si="9"/>
        <v>0</v>
      </c>
      <c r="M72" s="113">
        <f t="shared" si="4"/>
        <v>0</v>
      </c>
      <c r="N72" s="113">
        <f t="shared" si="10"/>
        <v>0</v>
      </c>
      <c r="O72" s="112">
        <v>-58592.52</v>
      </c>
      <c r="P72" s="113">
        <f t="shared" si="5"/>
        <v>-4.5928757083573871E-4</v>
      </c>
      <c r="Q72" s="113">
        <v>0</v>
      </c>
      <c r="R72" s="113">
        <f t="shared" si="12"/>
        <v>-58592.52</v>
      </c>
      <c r="S72" s="113">
        <f t="shared" si="13"/>
        <v>-161541.76000000001</v>
      </c>
    </row>
    <row r="73" spans="1:19" s="107" customFormat="1" ht="39.75" customHeight="1" x14ac:dyDescent="0.2">
      <c r="A73" s="110" t="s">
        <v>174</v>
      </c>
      <c r="B73" s="112">
        <v>0</v>
      </c>
      <c r="C73" s="112">
        <v>-322985</v>
      </c>
      <c r="D73" s="113">
        <f t="shared" ref="D73:D85" si="14">C73/C$85*100</f>
        <v>-3.4032288988698946E-3</v>
      </c>
      <c r="E73" s="113">
        <f t="shared" ref="E73:E85" si="15">C73-B73</f>
        <v>-322985</v>
      </c>
      <c r="F73" s="112">
        <v>703439.6</v>
      </c>
      <c r="G73" s="113">
        <f t="shared" ref="G73:G85" si="16">F73/F$85*100</f>
        <v>7.5853946057144669E-3</v>
      </c>
      <c r="H73" s="113">
        <f t="shared" si="8"/>
        <v>-217.79327213338081</v>
      </c>
      <c r="I73" s="112">
        <v>0</v>
      </c>
      <c r="J73" s="112">
        <v>0</v>
      </c>
      <c r="K73" s="112">
        <v>0</v>
      </c>
      <c r="L73" s="112">
        <f t="shared" ref="L73:L85" si="17">K73-J73</f>
        <v>0</v>
      </c>
      <c r="M73" s="113">
        <f t="shared" ref="M73:M85" si="18">K73/K$85*100</f>
        <v>0</v>
      </c>
      <c r="N73" s="113">
        <f t="shared" si="10"/>
        <v>0</v>
      </c>
      <c r="O73" s="112">
        <v>2028.29</v>
      </c>
      <c r="P73" s="113">
        <f t="shared" ref="P73:P85" si="19">O73/O$85*100</f>
        <v>1.5899100892919787E-5</v>
      </c>
      <c r="Q73" s="113">
        <v>0</v>
      </c>
      <c r="R73" s="113">
        <f t="shared" si="12"/>
        <v>2028.29</v>
      </c>
      <c r="S73" s="113">
        <f t="shared" si="13"/>
        <v>-701411.30999999994</v>
      </c>
    </row>
    <row r="74" spans="1:19" s="107" customFormat="1" ht="48" customHeight="1" x14ac:dyDescent="0.2">
      <c r="A74" s="110" t="s">
        <v>182</v>
      </c>
      <c r="B74" s="112">
        <v>0</v>
      </c>
      <c r="C74" s="112">
        <v>682840</v>
      </c>
      <c r="D74" s="113">
        <f t="shared" si="14"/>
        <v>7.1949496766237414E-3</v>
      </c>
      <c r="E74" s="113">
        <f t="shared" si="15"/>
        <v>682840</v>
      </c>
      <c r="F74" s="112">
        <v>0</v>
      </c>
      <c r="G74" s="113">
        <f t="shared" si="16"/>
        <v>0</v>
      </c>
      <c r="H74" s="113">
        <f t="shared" ref="H74:H85" si="20">F74/C74*100</f>
        <v>0</v>
      </c>
      <c r="I74" s="112">
        <v>0</v>
      </c>
      <c r="J74" s="112">
        <v>792840</v>
      </c>
      <c r="K74" s="112">
        <v>792840</v>
      </c>
      <c r="L74" s="112">
        <f t="shared" si="17"/>
        <v>0</v>
      </c>
      <c r="M74" s="113">
        <f t="shared" si="18"/>
        <v>6.2228609298406309E-3</v>
      </c>
      <c r="N74" s="113">
        <f t="shared" ref="N74:N84" si="21">K74-I74</f>
        <v>792840</v>
      </c>
      <c r="O74" s="112">
        <v>10000</v>
      </c>
      <c r="P74" s="113">
        <f t="shared" si="19"/>
        <v>7.8386724250081529E-5</v>
      </c>
      <c r="Q74" s="113">
        <f t="shared" ref="Q74:Q84" si="22">O74/K74*100</f>
        <v>1.2612885323646639</v>
      </c>
      <c r="R74" s="113">
        <f t="shared" ref="R74:R85" si="23">O74-K74</f>
        <v>-782840</v>
      </c>
      <c r="S74" s="113">
        <f t="shared" ref="S74:S85" si="24">O74-F74</f>
        <v>10000</v>
      </c>
    </row>
    <row r="75" spans="1:19" s="80" customFormat="1" ht="38.25" customHeight="1" x14ac:dyDescent="0.2">
      <c r="A75" s="143" t="s">
        <v>40</v>
      </c>
      <c r="B75" s="125">
        <f>SUM(B76:B84)</f>
        <v>7646926140</v>
      </c>
      <c r="C75" s="125">
        <f>+C81+C82+C76+C77+C78+C79+C80+C84+C83</f>
        <v>5926878594.5699997</v>
      </c>
      <c r="D75" s="111">
        <f t="shared" si="14"/>
        <v>62.450344483904864</v>
      </c>
      <c r="E75" s="111">
        <f t="shared" si="15"/>
        <v>-1720047545.4300003</v>
      </c>
      <c r="F75" s="125">
        <f>SUM(F76:F84)</f>
        <v>5533525596.5900011</v>
      </c>
      <c r="G75" s="111">
        <f t="shared" si="16"/>
        <v>59.669622254642377</v>
      </c>
      <c r="H75" s="111">
        <f t="shared" si="20"/>
        <v>93.363235104218688</v>
      </c>
      <c r="I75" s="125">
        <f>SUM(I76:I84)</f>
        <v>7955391100</v>
      </c>
      <c r="J75" s="126">
        <f>+J81+J82+J76+J77+J78+J79+J80+J84+J83</f>
        <v>7846247055.9200001</v>
      </c>
      <c r="K75" s="127">
        <f>+K81+K82+K76+K77+K78+K79+K80+K84+K83</f>
        <v>7897814217.3400002</v>
      </c>
      <c r="L75" s="132">
        <f t="shared" si="17"/>
        <v>51567161.420000076</v>
      </c>
      <c r="M75" s="111">
        <f t="shared" si="18"/>
        <v>61.988546900036511</v>
      </c>
      <c r="N75" s="111">
        <f t="shared" si="21"/>
        <v>-57576882.659999847</v>
      </c>
      <c r="O75" s="127">
        <f>SUM(O76:O84)</f>
        <v>7714509779.4000006</v>
      </c>
      <c r="P75" s="111">
        <f t="shared" si="19"/>
        <v>60.471515080238511</v>
      </c>
      <c r="Q75" s="111">
        <f>O75/K75*100</f>
        <v>97.679048494993125</v>
      </c>
      <c r="R75" s="111">
        <f t="shared" si="23"/>
        <v>-183304437.93999958</v>
      </c>
      <c r="S75" s="111">
        <f t="shared" si="24"/>
        <v>2180984182.8099995</v>
      </c>
    </row>
    <row r="76" spans="1:19" ht="30" customHeight="1" x14ac:dyDescent="0.2">
      <c r="A76" s="144" t="s">
        <v>176</v>
      </c>
      <c r="B76" s="112">
        <v>998449000</v>
      </c>
      <c r="C76" s="112">
        <v>1049510100</v>
      </c>
      <c r="D76" s="113">
        <f t="shared" si="14"/>
        <v>11.05847981168114</v>
      </c>
      <c r="E76" s="113">
        <f t="shared" si="15"/>
        <v>51061100</v>
      </c>
      <c r="F76" s="112">
        <f>996179700+29511200+23819200</f>
        <v>1049510100</v>
      </c>
      <c r="G76" s="113">
        <f t="shared" si="16"/>
        <v>11.31717385711986</v>
      </c>
      <c r="H76" s="113">
        <f t="shared" si="20"/>
        <v>100</v>
      </c>
      <c r="I76" s="112">
        <v>34195800</v>
      </c>
      <c r="J76" s="112">
        <v>319829900</v>
      </c>
      <c r="K76" s="112">
        <v>347904900</v>
      </c>
      <c r="L76" s="112">
        <f t="shared" si="17"/>
        <v>28075000</v>
      </c>
      <c r="M76" s="113">
        <f t="shared" si="18"/>
        <v>2.7306440259196205</v>
      </c>
      <c r="N76" s="113">
        <f t="shared" si="21"/>
        <v>313709100</v>
      </c>
      <c r="O76" s="112">
        <v>347904900</v>
      </c>
      <c r="P76" s="113">
        <f t="shared" si="19"/>
        <v>2.7271125461552188</v>
      </c>
      <c r="Q76" s="113">
        <f t="shared" si="22"/>
        <v>100</v>
      </c>
      <c r="R76" s="113">
        <f t="shared" si="23"/>
        <v>0</v>
      </c>
      <c r="S76" s="113">
        <f t="shared" si="24"/>
        <v>-701605200</v>
      </c>
    </row>
    <row r="77" spans="1:19" ht="49.5" customHeight="1" x14ac:dyDescent="0.2">
      <c r="A77" s="144" t="s">
        <v>177</v>
      </c>
      <c r="B77" s="112">
        <v>2985386300</v>
      </c>
      <c r="C77" s="112">
        <v>1277798200.5699999</v>
      </c>
      <c r="D77" s="113">
        <f t="shared" si="14"/>
        <v>13.463906259125885</v>
      </c>
      <c r="E77" s="113">
        <f t="shared" si="15"/>
        <v>-1707588099.4300001</v>
      </c>
      <c r="F77" s="112">
        <f>27677550.31+143717572.35+224789024.9+1261700+77988065.73+558673.94+1413469.17+35326352.33+32377761.93+135357091.06</f>
        <v>680467261.72000003</v>
      </c>
      <c r="G77" s="113">
        <f t="shared" si="16"/>
        <v>7.3376771742963909</v>
      </c>
      <c r="H77" s="113">
        <f t="shared" si="20"/>
        <v>53.253108465519617</v>
      </c>
      <c r="I77" s="112">
        <v>4112322500</v>
      </c>
      <c r="J77" s="112">
        <v>3736221431.9200001</v>
      </c>
      <c r="K77" s="112">
        <v>3724333073.9499998</v>
      </c>
      <c r="L77" s="112">
        <f t="shared" si="17"/>
        <v>-11888357.970000267</v>
      </c>
      <c r="M77" s="113">
        <f t="shared" si="18"/>
        <v>29.231631572065879</v>
      </c>
      <c r="N77" s="113">
        <f t="shared" si="21"/>
        <v>-387989426.05000019</v>
      </c>
      <c r="O77" s="112">
        <v>3548595564.5799999</v>
      </c>
      <c r="P77" s="113">
        <f t="shared" si="19"/>
        <v>27.816278199579479</v>
      </c>
      <c r="Q77" s="113">
        <f>O77/K77*100</f>
        <v>95.281369687389045</v>
      </c>
      <c r="R77" s="113">
        <f t="shared" si="23"/>
        <v>-175737509.36999989</v>
      </c>
      <c r="S77" s="113">
        <f t="shared" si="24"/>
        <v>2868128302.8599997</v>
      </c>
    </row>
    <row r="78" spans="1:19" ht="36" customHeight="1" x14ac:dyDescent="0.2">
      <c r="A78" s="144" t="s">
        <v>178</v>
      </c>
      <c r="B78" s="112">
        <v>3569141200</v>
      </c>
      <c r="C78" s="112">
        <v>3698308900</v>
      </c>
      <c r="D78" s="113">
        <f t="shared" si="14"/>
        <v>38.968347525203129</v>
      </c>
      <c r="E78" s="113">
        <f t="shared" si="15"/>
        <v>129167700</v>
      </c>
      <c r="F78" s="112">
        <f>3447169369.63+71810758.84+122861352+12888+945018+3005550+78482.12+10331617.53</f>
        <v>3656215036.1200004</v>
      </c>
      <c r="G78" s="113">
        <f t="shared" si="16"/>
        <v>39.426034320952049</v>
      </c>
      <c r="H78" s="113">
        <f t="shared" si="20"/>
        <v>98.861807787878405</v>
      </c>
      <c r="I78" s="112">
        <v>3712794600</v>
      </c>
      <c r="J78" s="112">
        <v>3800503200</v>
      </c>
      <c r="K78" s="112">
        <v>3839587219.3899999</v>
      </c>
      <c r="L78" s="112">
        <f t="shared" si="17"/>
        <v>39084019.389999866</v>
      </c>
      <c r="M78" s="113">
        <f t="shared" si="18"/>
        <v>30.136240974543995</v>
      </c>
      <c r="N78" s="113">
        <f t="shared" si="21"/>
        <v>126792619.38999987</v>
      </c>
      <c r="O78" s="112">
        <v>3832542477.7800002</v>
      </c>
      <c r="P78" s="113">
        <f t="shared" si="19"/>
        <v>30.042045038246506</v>
      </c>
      <c r="Q78" s="113">
        <f t="shared" si="22"/>
        <v>99.816523464438475</v>
      </c>
      <c r="R78" s="113">
        <f t="shared" si="23"/>
        <v>-7044741.6099996567</v>
      </c>
      <c r="S78" s="113">
        <f t="shared" si="24"/>
        <v>176327441.65999985</v>
      </c>
    </row>
    <row r="79" spans="1:19" ht="21" customHeight="1" x14ac:dyDescent="0.2">
      <c r="A79" s="145" t="s">
        <v>143</v>
      </c>
      <c r="B79" s="112">
        <v>93266800</v>
      </c>
      <c r="C79" s="112">
        <v>114642482</v>
      </c>
      <c r="D79" s="113">
        <f t="shared" si="14"/>
        <v>1.207965099867089</v>
      </c>
      <c r="E79" s="113">
        <f t="shared" si="15"/>
        <v>21375682</v>
      </c>
      <c r="F79" s="112">
        <f>82923905.42+29814381.84</f>
        <v>112738287.26000001</v>
      </c>
      <c r="G79" s="113">
        <f t="shared" si="16"/>
        <v>1.2156898702312069</v>
      </c>
      <c r="H79" s="113">
        <f t="shared" si="20"/>
        <v>98.339014729286831</v>
      </c>
      <c r="I79" s="112">
        <v>96078200</v>
      </c>
      <c r="J79" s="112">
        <v>113894953</v>
      </c>
      <c r="K79" s="112">
        <v>110191453</v>
      </c>
      <c r="L79" s="112">
        <f t="shared" si="17"/>
        <v>-3703500</v>
      </c>
      <c r="M79" s="113">
        <f t="shared" si="18"/>
        <v>0.86487322495846608</v>
      </c>
      <c r="N79" s="113">
        <f t="shared" si="21"/>
        <v>14113253</v>
      </c>
      <c r="O79" s="112">
        <v>109669265.31999999</v>
      </c>
      <c r="P79" s="113">
        <f t="shared" si="19"/>
        <v>0.85966144593478677</v>
      </c>
      <c r="Q79" s="113">
        <f t="shared" si="22"/>
        <v>99.526108726418187</v>
      </c>
      <c r="R79" s="113">
        <f t="shared" si="23"/>
        <v>-522187.68000000715</v>
      </c>
      <c r="S79" s="113">
        <f t="shared" si="24"/>
        <v>-3069021.9400000125</v>
      </c>
    </row>
    <row r="80" spans="1:19" ht="38.25" customHeight="1" x14ac:dyDescent="0.2">
      <c r="A80" s="144" t="s">
        <v>216</v>
      </c>
      <c r="B80" s="112">
        <v>0</v>
      </c>
      <c r="C80" s="112">
        <v>0</v>
      </c>
      <c r="D80" s="113">
        <f t="shared" si="14"/>
        <v>0</v>
      </c>
      <c r="E80" s="113">
        <f t="shared" si="15"/>
        <v>0</v>
      </c>
      <c r="F80" s="112">
        <v>247976000</v>
      </c>
      <c r="G80" s="113">
        <f t="shared" si="16"/>
        <v>2.673997615071217</v>
      </c>
      <c r="H80" s="113">
        <v>0</v>
      </c>
      <c r="I80" s="112">
        <v>0</v>
      </c>
      <c r="J80" s="112">
        <v>0</v>
      </c>
      <c r="K80" s="112">
        <v>0</v>
      </c>
      <c r="L80" s="112">
        <f t="shared" si="17"/>
        <v>0</v>
      </c>
      <c r="M80" s="113">
        <f t="shared" si="18"/>
        <v>0</v>
      </c>
      <c r="N80" s="113">
        <f t="shared" si="21"/>
        <v>0</v>
      </c>
      <c r="O80" s="112">
        <v>0</v>
      </c>
      <c r="P80" s="113">
        <f t="shared" si="19"/>
        <v>0</v>
      </c>
      <c r="Q80" s="113">
        <v>0</v>
      </c>
      <c r="R80" s="113">
        <f t="shared" si="23"/>
        <v>0</v>
      </c>
      <c r="S80" s="113">
        <f t="shared" si="24"/>
        <v>-247976000</v>
      </c>
    </row>
    <row r="81" spans="1:19" ht="53.25" customHeight="1" x14ac:dyDescent="0.2">
      <c r="A81" s="110" t="s">
        <v>217</v>
      </c>
      <c r="B81" s="112">
        <v>682840</v>
      </c>
      <c r="C81" s="112">
        <v>49454</v>
      </c>
      <c r="D81" s="113">
        <f t="shared" si="14"/>
        <v>5.2108699154670274E-4</v>
      </c>
      <c r="E81" s="113">
        <f t="shared" si="15"/>
        <v>-633386</v>
      </c>
      <c r="F81" s="112">
        <v>49453.38</v>
      </c>
      <c r="G81" s="113">
        <f t="shared" si="16"/>
        <v>5.3327023654390184E-4</v>
      </c>
      <c r="H81" s="113">
        <f t="shared" si="20"/>
        <v>99.998746309701943</v>
      </c>
      <c r="I81" s="112">
        <v>0</v>
      </c>
      <c r="J81" s="112">
        <v>-24110946</v>
      </c>
      <c r="K81" s="112">
        <v>-24110946</v>
      </c>
      <c r="L81" s="112">
        <f t="shared" si="17"/>
        <v>0</v>
      </c>
      <c r="M81" s="113">
        <f t="shared" si="18"/>
        <v>-0.18924255063429854</v>
      </c>
      <c r="N81" s="113">
        <f t="shared" si="21"/>
        <v>-24110946</v>
      </c>
      <c r="O81" s="112">
        <v>-24110945.16</v>
      </c>
      <c r="P81" s="113">
        <f t="shared" si="19"/>
        <v>-0.18899780096657579</v>
      </c>
      <c r="Q81" s="113">
        <f t="shared" si="22"/>
        <v>99.99999651610517</v>
      </c>
      <c r="R81" s="113">
        <f t="shared" si="23"/>
        <v>0.83999999985098839</v>
      </c>
      <c r="S81" s="113">
        <f t="shared" si="24"/>
        <v>-24160398.539999999</v>
      </c>
    </row>
    <row r="82" spans="1:19" ht="78" customHeight="1" x14ac:dyDescent="0.2">
      <c r="A82" s="110" t="s">
        <v>218</v>
      </c>
      <c r="B82" s="112">
        <v>0</v>
      </c>
      <c r="C82" s="112">
        <v>0</v>
      </c>
      <c r="D82" s="113">
        <f t="shared" si="14"/>
        <v>0</v>
      </c>
      <c r="E82" s="113">
        <f t="shared" si="15"/>
        <v>0</v>
      </c>
      <c r="F82" s="112">
        <v>0</v>
      </c>
      <c r="G82" s="113">
        <f t="shared" si="16"/>
        <v>0</v>
      </c>
      <c r="H82" s="113">
        <v>0</v>
      </c>
      <c r="I82" s="112">
        <v>0</v>
      </c>
      <c r="J82" s="112">
        <v>1500</v>
      </c>
      <c r="K82" s="112">
        <v>1500</v>
      </c>
      <c r="L82" s="112">
        <f t="shared" si="17"/>
        <v>0</v>
      </c>
      <c r="M82" s="113">
        <f t="shared" si="18"/>
        <v>1.1773234693962144E-5</v>
      </c>
      <c r="N82" s="113">
        <f t="shared" si="21"/>
        <v>1500</v>
      </c>
      <c r="O82" s="112">
        <v>1500</v>
      </c>
      <c r="P82" s="113">
        <f t="shared" si="19"/>
        <v>1.1758008637512229E-5</v>
      </c>
      <c r="Q82" s="113">
        <f t="shared" si="22"/>
        <v>100</v>
      </c>
      <c r="R82" s="113">
        <f t="shared" si="23"/>
        <v>0</v>
      </c>
      <c r="S82" s="113">
        <f t="shared" si="24"/>
        <v>1500</v>
      </c>
    </row>
    <row r="83" spans="1:19" ht="54.75" customHeight="1" x14ac:dyDescent="0.2">
      <c r="A83" s="144" t="s">
        <v>179</v>
      </c>
      <c r="B83" s="112">
        <v>0</v>
      </c>
      <c r="C83" s="112">
        <v>1069351</v>
      </c>
      <c r="D83" s="113">
        <f t="shared" si="14"/>
        <v>1.1267539440640961E-2</v>
      </c>
      <c r="E83" s="113">
        <f t="shared" si="15"/>
        <v>1069351</v>
      </c>
      <c r="F83" s="112">
        <f>891100+178080.72+170</f>
        <v>1069350.72</v>
      </c>
      <c r="G83" s="113">
        <f t="shared" si="16"/>
        <v>1.1531121055887217E-2</v>
      </c>
      <c r="H83" s="113">
        <f t="shared" si="20"/>
        <v>99.999973815893938</v>
      </c>
      <c r="I83" s="112">
        <v>0</v>
      </c>
      <c r="J83" s="112">
        <v>492212</v>
      </c>
      <c r="K83" s="112">
        <v>492212</v>
      </c>
      <c r="L83" s="112">
        <f t="shared" si="17"/>
        <v>0</v>
      </c>
      <c r="M83" s="113">
        <f t="shared" si="18"/>
        <v>3.8632849301229971E-3</v>
      </c>
      <c r="N83" s="113">
        <f t="shared" si="21"/>
        <v>492212</v>
      </c>
      <c r="O83" s="112">
        <v>492211.41</v>
      </c>
      <c r="P83" s="113">
        <f t="shared" si="19"/>
        <v>3.8582840068413816E-3</v>
      </c>
      <c r="Q83" s="113">
        <f t="shared" si="22"/>
        <v>99.999880132950835</v>
      </c>
      <c r="R83" s="113">
        <f t="shared" si="23"/>
        <v>-0.59000000002561137</v>
      </c>
      <c r="S83" s="113">
        <f t="shared" si="24"/>
        <v>-577139.31000000006</v>
      </c>
    </row>
    <row r="84" spans="1:19" ht="80.25" customHeight="1" x14ac:dyDescent="0.2">
      <c r="A84" s="144" t="s">
        <v>97</v>
      </c>
      <c r="B84" s="112">
        <v>0</v>
      </c>
      <c r="C84" s="112">
        <v>-214499893</v>
      </c>
      <c r="D84" s="113">
        <f t="shared" si="14"/>
        <v>-2.2601428384045708</v>
      </c>
      <c r="E84" s="113">
        <f t="shared" si="15"/>
        <v>-214499893</v>
      </c>
      <c r="F84" s="112">
        <f>-0.02-10298.7-214489593.89</f>
        <v>-214499892.60999998</v>
      </c>
      <c r="G84" s="113">
        <f t="shared" si="16"/>
        <v>-2.3130149743207897</v>
      </c>
      <c r="H84" s="113">
        <f t="shared" si="20"/>
        <v>99.99999981818172</v>
      </c>
      <c r="I84" s="112">
        <v>0</v>
      </c>
      <c r="J84" s="112">
        <v>-100585195</v>
      </c>
      <c r="K84" s="112">
        <v>-100585195</v>
      </c>
      <c r="L84" s="112">
        <f t="shared" si="17"/>
        <v>0</v>
      </c>
      <c r="M84" s="113">
        <f t="shared" si="18"/>
        <v>-0.789475404981965</v>
      </c>
      <c r="N84" s="113">
        <f t="shared" si="21"/>
        <v>-100585195</v>
      </c>
      <c r="O84" s="112">
        <v>-100585194.53</v>
      </c>
      <c r="P84" s="113">
        <f t="shared" si="19"/>
        <v>-0.7884543907263919</v>
      </c>
      <c r="Q84" s="113">
        <f t="shared" si="22"/>
        <v>99.999999532734421</v>
      </c>
      <c r="R84" s="113">
        <f t="shared" si="23"/>
        <v>0.4699999988079071</v>
      </c>
      <c r="S84" s="113">
        <f>O84-F84</f>
        <v>113914698.07999998</v>
      </c>
    </row>
    <row r="85" spans="1:19" s="80" customFormat="1" ht="21" customHeight="1" x14ac:dyDescent="0.2">
      <c r="A85" s="139" t="s">
        <v>48</v>
      </c>
      <c r="B85" s="125">
        <f>B9+B26+B75</f>
        <v>10682255577</v>
      </c>
      <c r="C85" s="125">
        <f>C9+C26+C75</f>
        <v>9490545878.5699997</v>
      </c>
      <c r="D85" s="111">
        <f t="shared" si="14"/>
        <v>100</v>
      </c>
      <c r="E85" s="111">
        <f t="shared" si="15"/>
        <v>-1191709698.4300003</v>
      </c>
      <c r="F85" s="125">
        <f>F9+F26+F75</f>
        <v>9273605877.6700001</v>
      </c>
      <c r="G85" s="111">
        <f t="shared" si="16"/>
        <v>100</v>
      </c>
      <c r="H85" s="111">
        <f t="shared" si="20"/>
        <v>97.714146228512959</v>
      </c>
      <c r="I85" s="125">
        <f>I9+I26+I75</f>
        <v>12168556070</v>
      </c>
      <c r="J85" s="126">
        <f>J9+J26+J75</f>
        <v>12689196434.92</v>
      </c>
      <c r="K85" s="127">
        <f>K9+K26+K75</f>
        <v>12740763596.34</v>
      </c>
      <c r="L85" s="132">
        <f t="shared" si="17"/>
        <v>51567161.420000076</v>
      </c>
      <c r="M85" s="111">
        <f t="shared" si="18"/>
        <v>100</v>
      </c>
      <c r="N85" s="111">
        <f>K85-I85</f>
        <v>572207526.34000015</v>
      </c>
      <c r="O85" s="127">
        <f>O9+O26+O75</f>
        <v>12757262273.260002</v>
      </c>
      <c r="P85" s="111">
        <f t="shared" si="19"/>
        <v>100</v>
      </c>
      <c r="Q85" s="111">
        <f>O85/K85*100</f>
        <v>100.12949519701269</v>
      </c>
      <c r="R85" s="111">
        <f t="shared" si="23"/>
        <v>16498676.920001984</v>
      </c>
      <c r="S85" s="111">
        <f t="shared" si="24"/>
        <v>3483656395.5900021</v>
      </c>
    </row>
    <row r="86" spans="1:19" ht="15" customHeight="1" x14ac:dyDescent="0.25">
      <c r="B86" s="123"/>
      <c r="F86" s="118"/>
      <c r="I86" s="123"/>
      <c r="O86" s="130"/>
    </row>
    <row r="87" spans="1:19" ht="15" customHeight="1" x14ac:dyDescent="0.25">
      <c r="B87" s="109"/>
      <c r="C87" s="96"/>
      <c r="E87" s="108"/>
      <c r="F87" s="118"/>
      <c r="I87" s="109"/>
      <c r="J87" s="96"/>
      <c r="K87" s="97"/>
      <c r="L87" s="96"/>
      <c r="M87" s="96"/>
      <c r="N87" s="97"/>
      <c r="O87" s="130"/>
    </row>
    <row r="88" spans="1:19" hidden="1" x14ac:dyDescent="0.25">
      <c r="C88" s="97"/>
      <c r="F88" s="117"/>
      <c r="J88" s="97"/>
      <c r="K88" s="97"/>
      <c r="L88" s="97"/>
      <c r="M88" s="97"/>
      <c r="O88" s="131"/>
    </row>
    <row r="89" spans="1:19" hidden="1" x14ac:dyDescent="0.25">
      <c r="C89" s="97"/>
      <c r="F89" s="118"/>
      <c r="J89" s="97"/>
      <c r="K89" s="97"/>
      <c r="L89" s="97"/>
      <c r="M89" s="97"/>
      <c r="O89" s="130"/>
      <c r="R89" s="83"/>
    </row>
    <row r="90" spans="1:19" ht="30" hidden="1" x14ac:dyDescent="0.25">
      <c r="A90" s="82" t="s">
        <v>176</v>
      </c>
      <c r="B90" s="112">
        <v>10286400</v>
      </c>
      <c r="C90" s="112" t="e">
        <f>A90-B90</f>
        <v>#VALUE!</v>
      </c>
      <c r="D90" s="119"/>
      <c r="E90" s="119"/>
      <c r="G90" s="119"/>
      <c r="H90" s="120"/>
      <c r="I90" s="112">
        <v>10286400</v>
      </c>
      <c r="J90" s="112">
        <f>7598800+2687600</f>
        <v>10286400</v>
      </c>
      <c r="K90" s="112"/>
      <c r="L90" s="97"/>
      <c r="M90" s="97"/>
    </row>
    <row r="91" spans="1:19" ht="45" hidden="1" x14ac:dyDescent="0.25">
      <c r="A91" s="84" t="s">
        <v>177</v>
      </c>
      <c r="B91" s="112">
        <v>-133701822</v>
      </c>
      <c r="C91" s="112" t="e">
        <f t="shared" ref="C91:C93" si="25">A91-B91</f>
        <v>#VALUE!</v>
      </c>
      <c r="D91" s="119"/>
      <c r="E91" s="119"/>
      <c r="F91" s="117"/>
      <c r="G91" s="119"/>
      <c r="H91" s="120"/>
      <c r="I91" s="112">
        <v>-133701822</v>
      </c>
      <c r="J91" s="112">
        <f>-13013970+1682871+830877-7356200+109876300-29400-7500-25143300-59060800-37760100-101855100-1865500</f>
        <v>-133701822</v>
      </c>
      <c r="K91" s="112"/>
      <c r="L91" s="97"/>
      <c r="M91" s="97"/>
      <c r="O91" s="131"/>
      <c r="P91" s="97"/>
    </row>
    <row r="92" spans="1:19" ht="30" hidden="1" x14ac:dyDescent="0.25">
      <c r="A92" s="84" t="s">
        <v>178</v>
      </c>
      <c r="B92" s="112">
        <v>-101664166</v>
      </c>
      <c r="C92" s="112" t="e">
        <f>A92-B92</f>
        <v>#VALUE!</v>
      </c>
      <c r="D92" s="121"/>
      <c r="E92" s="121"/>
      <c r="G92" s="121"/>
      <c r="H92" s="122"/>
      <c r="I92" s="112">
        <v>-101664166</v>
      </c>
      <c r="J92" s="112">
        <f>-419000-4.5+4.5-80918400-16538000-3620166-13400-77900-77300</f>
        <v>-101664166</v>
      </c>
      <c r="K92" s="112"/>
    </row>
    <row r="93" spans="1:19" hidden="1" x14ac:dyDescent="0.25">
      <c r="A93" s="85" t="s">
        <v>143</v>
      </c>
      <c r="B93" s="112">
        <v>7598800</v>
      </c>
      <c r="C93" s="112" t="e">
        <f t="shared" si="25"/>
        <v>#VALUE!</v>
      </c>
      <c r="D93" s="121"/>
      <c r="E93" s="121"/>
      <c r="G93" s="121"/>
      <c r="H93" s="122"/>
      <c r="I93" s="112">
        <v>7598800</v>
      </c>
      <c r="J93" s="112">
        <v>7598800</v>
      </c>
      <c r="K93" s="112"/>
      <c r="L93" s="97"/>
      <c r="M93" s="97"/>
    </row>
    <row r="94" spans="1:19" x14ac:dyDescent="0.25">
      <c r="B94" s="109"/>
      <c r="D94" s="106"/>
      <c r="E94" s="106"/>
      <c r="G94" s="106"/>
      <c r="H94" s="106"/>
      <c r="I94" s="109"/>
      <c r="K94" s="97"/>
      <c r="L94" s="129"/>
      <c r="M94" s="129"/>
      <c r="N94" s="129"/>
      <c r="O94" s="129"/>
      <c r="P94" s="129"/>
      <c r="Q94" s="129"/>
    </row>
    <row r="95" spans="1:19" x14ac:dyDescent="0.25">
      <c r="B95" s="109"/>
      <c r="D95" s="106"/>
      <c r="E95" s="106"/>
      <c r="G95" s="106"/>
      <c r="H95" s="106"/>
      <c r="I95" s="109"/>
      <c r="K95" s="97"/>
    </row>
    <row r="96" spans="1:19" x14ac:dyDescent="0.25">
      <c r="K96" s="97"/>
    </row>
  </sheetData>
  <autoFilter ref="A8:S87"/>
  <mergeCells count="6">
    <mergeCell ref="R1:S2"/>
    <mergeCell ref="A4:S4"/>
    <mergeCell ref="B6:H6"/>
    <mergeCell ref="R6:S6"/>
    <mergeCell ref="A6:A7"/>
    <mergeCell ref="I6:Q6"/>
  </mergeCells>
  <pageMargins left="0.27559055118110237" right="0.27559055118110237" top="0.98425196850393704" bottom="0.39370078740157483" header="0.31496062992125984" footer="0.31496062992125984"/>
  <pageSetup paperSize="9" scale="50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61" t="s">
        <v>73</v>
      </c>
      <c r="T1" s="161"/>
    </row>
    <row r="2" spans="1:20" s="29" customFormat="1" ht="12.75" x14ac:dyDescent="0.2">
      <c r="A2" s="158" t="s">
        <v>150</v>
      </c>
      <c r="B2" s="159"/>
      <c r="C2" s="159"/>
      <c r="D2" s="159"/>
      <c r="E2" s="159"/>
      <c r="F2" s="159"/>
      <c r="G2" s="159"/>
      <c r="H2" s="159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62" t="s">
        <v>0</v>
      </c>
      <c r="B4" s="154" t="s">
        <v>107</v>
      </c>
      <c r="C4" s="154"/>
      <c r="D4" s="154"/>
      <c r="E4" s="154"/>
      <c r="F4" s="154"/>
      <c r="G4" s="154"/>
      <c r="H4" s="155"/>
      <c r="L4" s="154" t="s">
        <v>149</v>
      </c>
      <c r="M4" s="154"/>
      <c r="N4" s="154"/>
      <c r="O4" s="154"/>
      <c r="P4" s="154"/>
      <c r="Q4" s="154"/>
      <c r="R4" s="155"/>
      <c r="S4" s="156" t="s">
        <v>56</v>
      </c>
      <c r="T4" s="157"/>
    </row>
    <row r="5" spans="1:20" ht="120" x14ac:dyDescent="0.2">
      <c r="A5" s="163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160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45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14.2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30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Отчет о совместимости</vt:lpstr>
      <vt:lpstr>2012 год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2023-04-21T10:17:03Z</cp:lastPrinted>
  <dcterms:created xsi:type="dcterms:W3CDTF">1996-10-08T23:32:33Z</dcterms:created>
  <dcterms:modified xsi:type="dcterms:W3CDTF">2023-04-21T10:20:30Z</dcterms:modified>
</cp:coreProperties>
</file>