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2DA44E45-1F8B-4621-99FE-20434537C04E}" xr6:coauthVersionLast="47" xr6:coauthVersionMax="47" xr10:uidLastSave="{00000000-0000-0000-0000-000000000000}"/>
  <bookViews>
    <workbookView xWindow="-120" yWindow="-120" windowWidth="29040" windowHeight="15840" firstSheet="4" activeTab="4" xr2:uid="{A5D10FA9-1685-40C9-8B72-5B826836D0B2}"/>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Результат!$A$5:$V$295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5" l="1"/>
  <c r="J23" i="5"/>
  <c r="I23" i="5"/>
  <c r="K24" i="5"/>
  <c r="K26" i="5"/>
  <c r="J24" i="5"/>
  <c r="J26" i="5"/>
  <c r="I24" i="5"/>
  <c r="I26" i="5"/>
  <c r="G24" i="5"/>
  <c r="G25" i="5" s="1"/>
  <c r="G26" i="5"/>
  <c r="G23" i="5"/>
  <c r="F24" i="5"/>
  <c r="F25" i="5" s="1"/>
  <c r="F27" i="5" s="1"/>
  <c r="F26" i="5"/>
  <c r="F23" i="5"/>
  <c r="E25" i="5"/>
  <c r="E27" i="5" s="1"/>
  <c r="E28" i="5" s="1"/>
  <c r="E26" i="5"/>
  <c r="E24" i="5"/>
  <c r="E23" i="5"/>
  <c r="H26" i="5"/>
  <c r="H23" i="5"/>
  <c r="D23" i="5"/>
  <c r="O8" i="5"/>
  <c r="O9" i="5"/>
  <c r="O10" i="5"/>
  <c r="O11" i="5"/>
  <c r="O12" i="5"/>
  <c r="O13" i="5"/>
  <c r="O14" i="5"/>
  <c r="O15" i="5"/>
  <c r="O16" i="5"/>
  <c r="O17" i="5"/>
  <c r="O18" i="5"/>
  <c r="O19" i="5"/>
  <c r="O20" i="5"/>
  <c r="N7" i="5"/>
  <c r="N8" i="5"/>
  <c r="N9" i="5"/>
  <c r="N10" i="5"/>
  <c r="N11" i="5"/>
  <c r="N12" i="5"/>
  <c r="N13" i="5"/>
  <c r="N14" i="5"/>
  <c r="N15" i="5"/>
  <c r="N16" i="5"/>
  <c r="N17" i="5"/>
  <c r="N18" i="5"/>
  <c r="N19" i="5"/>
  <c r="N20" i="5"/>
  <c r="N6" i="5"/>
  <c r="M7" i="5"/>
  <c r="M8" i="5"/>
  <c r="M9" i="5"/>
  <c r="M10" i="5"/>
  <c r="M11" i="5"/>
  <c r="M12" i="5"/>
  <c r="M13" i="5"/>
  <c r="M14" i="5"/>
  <c r="M15" i="5"/>
  <c r="M16" i="5"/>
  <c r="M17" i="5"/>
  <c r="M18" i="5"/>
  <c r="M19" i="5"/>
  <c r="M20" i="5"/>
  <c r="M6" i="5"/>
  <c r="L9" i="5"/>
  <c r="L10" i="5"/>
  <c r="L11" i="5"/>
  <c r="L12" i="5"/>
  <c r="L13" i="5"/>
  <c r="L14" i="5"/>
  <c r="L15" i="5"/>
  <c r="L16" i="5"/>
  <c r="L17" i="5"/>
  <c r="L18" i="5"/>
  <c r="L19" i="5"/>
  <c r="L20" i="5"/>
  <c r="K20" i="5"/>
  <c r="K19" i="5"/>
  <c r="K17" i="5"/>
  <c r="K15" i="5"/>
  <c r="K13" i="5"/>
  <c r="K12" i="5"/>
  <c r="J20" i="5"/>
  <c r="J19" i="5"/>
  <c r="J17" i="5"/>
  <c r="J15" i="5"/>
  <c r="J13" i="5"/>
  <c r="J12" i="5"/>
  <c r="I20" i="5"/>
  <c r="I19" i="5"/>
  <c r="I17" i="5"/>
  <c r="I15" i="5"/>
  <c r="I13" i="5"/>
  <c r="I12" i="5"/>
  <c r="G20" i="5"/>
  <c r="G19" i="5"/>
  <c r="G17" i="5"/>
  <c r="G15" i="5"/>
  <c r="G13" i="5"/>
  <c r="G12" i="5"/>
  <c r="F20" i="5"/>
  <c r="F18" i="5" s="1"/>
  <c r="F19" i="5"/>
  <c r="F17" i="5"/>
  <c r="F15" i="5"/>
  <c r="F13" i="5"/>
  <c r="F12" i="5"/>
  <c r="E20" i="5"/>
  <c r="E18" i="5" s="1"/>
  <c r="E19" i="5"/>
  <c r="E17" i="5"/>
  <c r="E15" i="5"/>
  <c r="E13" i="5"/>
  <c r="E12" i="5"/>
  <c r="K11" i="5"/>
  <c r="J11" i="5"/>
  <c r="I11" i="5"/>
  <c r="G11" i="5"/>
  <c r="F11" i="5"/>
  <c r="E11" i="5"/>
  <c r="K10" i="5"/>
  <c r="J10" i="5"/>
  <c r="H10" i="5" s="1"/>
  <c r="I10" i="5"/>
  <c r="G10" i="5"/>
  <c r="F10" i="5"/>
  <c r="E10" i="5"/>
  <c r="K9" i="5"/>
  <c r="J9" i="5"/>
  <c r="I9" i="5"/>
  <c r="F9" i="5"/>
  <c r="G9" i="5"/>
  <c r="E9" i="5"/>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D119" i="3"/>
  <c r="D120" i="3"/>
  <c r="D121" i="3"/>
  <c r="D122" i="3"/>
  <c r="D123" i="3"/>
  <c r="D124" i="3"/>
  <c r="D125" i="3"/>
  <c r="D126" i="3"/>
  <c r="D127" i="3"/>
  <c r="D129" i="3"/>
  <c r="D131" i="3"/>
  <c r="D132" i="3"/>
  <c r="D133" i="3"/>
  <c r="D134" i="3"/>
  <c r="D135" i="3"/>
  <c r="D136" i="3"/>
  <c r="D137" i="3"/>
  <c r="D138" i="3"/>
  <c r="D140" i="3"/>
  <c r="D141" i="3"/>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D16" i="5"/>
  <c r="D26" i="5" s="1"/>
  <c r="G14" i="5"/>
  <c r="F14" i="5"/>
  <c r="H8" i="5"/>
  <c r="L8" i="5" s="1"/>
  <c r="D8" i="5"/>
  <c r="J25" i="5" l="1"/>
  <c r="J27" i="5" s="1"/>
  <c r="I25" i="5"/>
  <c r="I27" i="5" s="1"/>
  <c r="K25" i="5"/>
  <c r="G27" i="5"/>
  <c r="G28" i="5" s="1"/>
  <c r="F28" i="5"/>
  <c r="K18" i="5"/>
  <c r="K14" i="5"/>
  <c r="J18" i="5"/>
  <c r="H17" i="5"/>
  <c r="J14" i="5"/>
  <c r="H15" i="5"/>
  <c r="H13" i="5"/>
  <c r="H12" i="5"/>
  <c r="H20" i="5"/>
  <c r="I18" i="5"/>
  <c r="H19" i="5"/>
  <c r="I14" i="5"/>
  <c r="G18" i="5"/>
  <c r="D19" i="5"/>
  <c r="D17" i="5"/>
  <c r="D12" i="5"/>
  <c r="D20" i="5"/>
  <c r="E14" i="5"/>
  <c r="D15" i="5"/>
  <c r="D13" i="5"/>
  <c r="H11" i="5"/>
  <c r="F7" i="5"/>
  <c r="F6" i="5" s="1"/>
  <c r="D11" i="5"/>
  <c r="K7" i="5"/>
  <c r="G7" i="5"/>
  <c r="G6" i="5" s="1"/>
  <c r="D10" i="5"/>
  <c r="J7" i="5"/>
  <c r="H9" i="5"/>
  <c r="I7" i="5"/>
  <c r="I6" i="5" s="1"/>
  <c r="D9" i="5"/>
  <c r="E7" i="5"/>
  <c r="E6" i="5" s="1"/>
  <c r="J28" i="5" l="1"/>
  <c r="I28" i="5"/>
  <c r="K27" i="5"/>
  <c r="K28" i="5" s="1"/>
  <c r="K6" i="5"/>
  <c r="O6" i="5" s="1"/>
  <c r="O7" i="5"/>
  <c r="H14" i="5"/>
  <c r="J6" i="5"/>
  <c r="H7" i="5"/>
  <c r="L7" i="5" s="1"/>
  <c r="H18" i="5"/>
  <c r="D14" i="5"/>
  <c r="D18" i="5"/>
  <c r="D7" i="5"/>
  <c r="H6" i="5" l="1"/>
  <c r="D6" i="5"/>
  <c r="D24" i="5" s="1"/>
  <c r="D25" i="5" s="1"/>
  <c r="D27" i="5" s="1"/>
  <c r="H24" i="5" l="1"/>
  <c r="H25" i="5" s="1"/>
  <c r="L6" i="5"/>
  <c r="D28" i="5"/>
  <c r="H27" i="5" l="1"/>
  <c r="H28" i="5" s="1"/>
  <c r="Z6" i="2"/>
  <c r="AB6" i="2" s="1"/>
  <c r="Z7" i="2"/>
  <c r="AB7" i="2" s="1"/>
  <c r="Z8" i="2"/>
  <c r="AB8" i="2" s="1"/>
  <c r="Z9" i="2"/>
  <c r="AB9" i="2" s="1"/>
  <c r="Z10" i="2"/>
  <c r="AB10" i="2" s="1"/>
  <c r="Z11" i="2"/>
  <c r="AB11" i="2" s="1"/>
  <c r="Z12" i="2"/>
  <c r="AB12" i="2" s="1"/>
  <c r="Z13" i="2"/>
  <c r="AB13" i="2" s="1"/>
  <c r="Z14" i="2"/>
  <c r="AB14" i="2" s="1"/>
  <c r="Z15" i="2"/>
  <c r="AB15" i="2" s="1"/>
  <c r="Z16" i="2"/>
  <c r="AB16" i="2" s="1"/>
  <c r="Z17" i="2"/>
  <c r="AB17" i="2" s="1"/>
  <c r="Z18" i="2"/>
  <c r="AB18" i="2" s="1"/>
  <c r="Z19" i="2"/>
  <c r="AB19" i="2" s="1"/>
  <c r="Z20" i="2"/>
  <c r="AB20" i="2" s="1"/>
  <c r="Z21" i="2"/>
  <c r="AB21" i="2" s="1"/>
  <c r="Z22" i="2"/>
  <c r="AB22" i="2" s="1"/>
  <c r="Z23" i="2"/>
  <c r="AB23" i="2" s="1"/>
  <c r="Z24" i="2"/>
  <c r="AB24" i="2" s="1"/>
  <c r="Z25" i="2"/>
  <c r="AB25" i="2" s="1"/>
  <c r="Z26" i="2"/>
  <c r="AB26" i="2" s="1"/>
  <c r="Z27" i="2"/>
  <c r="AB27" i="2" s="1"/>
  <c r="Z28" i="2"/>
  <c r="AB28" i="2" s="1"/>
  <c r="Z29" i="2"/>
  <c r="AB29" i="2" s="1"/>
  <c r="Z30" i="2"/>
  <c r="AB30" i="2" s="1"/>
  <c r="Z31" i="2"/>
  <c r="AB31" i="2" s="1"/>
  <c r="Z32" i="2"/>
  <c r="AB32" i="2" s="1"/>
  <c r="Z33" i="2"/>
  <c r="AB33" i="2" s="1"/>
  <c r="Z34" i="2"/>
  <c r="AB34" i="2" s="1"/>
  <c r="Z35" i="2"/>
  <c r="AB35" i="2" s="1"/>
  <c r="Z36" i="2"/>
  <c r="AB36" i="2" s="1"/>
  <c r="Z37" i="2"/>
  <c r="AB37" i="2" s="1"/>
  <c r="Z38" i="2"/>
  <c r="AB38" i="2" s="1"/>
  <c r="Z39" i="2"/>
  <c r="AB39" i="2" s="1"/>
  <c r="Z40" i="2"/>
  <c r="AB40" i="2" s="1"/>
  <c r="Z41" i="2"/>
  <c r="AB41" i="2" s="1"/>
  <c r="Z42" i="2"/>
  <c r="AB42" i="2" s="1"/>
  <c r="Z43" i="2"/>
  <c r="AB43" i="2" s="1"/>
  <c r="Z44" i="2"/>
  <c r="AB44" i="2" s="1"/>
  <c r="Z45" i="2"/>
  <c r="AB45" i="2" s="1"/>
  <c r="Z46" i="2"/>
  <c r="AB46" i="2" s="1"/>
  <c r="Z47" i="2"/>
  <c r="AB47" i="2" s="1"/>
  <c r="Z48" i="2"/>
  <c r="AB48" i="2" s="1"/>
  <c r="Z49" i="2"/>
  <c r="AB49" i="2" s="1"/>
  <c r="Z50" i="2"/>
  <c r="AB50" i="2" s="1"/>
  <c r="Z51" i="2"/>
  <c r="AB51" i="2" s="1"/>
  <c r="Z52" i="2"/>
  <c r="AB52" i="2" s="1"/>
  <c r="Z53" i="2"/>
  <c r="AB53" i="2" s="1"/>
  <c r="Z54" i="2"/>
  <c r="AB54" i="2" s="1"/>
  <c r="Z55" i="2"/>
  <c r="AB55" i="2" s="1"/>
  <c r="Z56" i="2"/>
  <c r="AB56" i="2" s="1"/>
  <c r="Z57" i="2"/>
  <c r="AB57" i="2" s="1"/>
  <c r="Z58" i="2"/>
  <c r="AB58" i="2" s="1"/>
  <c r="Z59" i="2"/>
  <c r="AB59" i="2" s="1"/>
  <c r="Z60" i="2"/>
  <c r="AB60" i="2" s="1"/>
  <c r="Z61" i="2"/>
  <c r="AB61" i="2" s="1"/>
  <c r="Z62" i="2"/>
  <c r="AB62" i="2" s="1"/>
  <c r="Z63" i="2"/>
  <c r="AB63" i="2" s="1"/>
  <c r="Z64" i="2"/>
  <c r="AB64" i="2" s="1"/>
  <c r="Z65" i="2"/>
  <c r="AB65" i="2" s="1"/>
  <c r="Z66" i="2"/>
  <c r="AB66" i="2" s="1"/>
  <c r="Z67" i="2"/>
  <c r="AB67" i="2" s="1"/>
  <c r="Z68" i="2"/>
  <c r="AB68" i="2" s="1"/>
  <c r="Z69" i="2"/>
  <c r="AB69" i="2" s="1"/>
  <c r="Z70" i="2"/>
  <c r="AB70" i="2" s="1"/>
  <c r="Z71" i="2"/>
  <c r="AB71" i="2" s="1"/>
  <c r="Z72" i="2"/>
  <c r="AB72" i="2" s="1"/>
  <c r="Z73" i="2"/>
  <c r="AB73" i="2" s="1"/>
  <c r="Z74" i="2"/>
  <c r="AB74" i="2" s="1"/>
  <c r="Z75" i="2"/>
  <c r="AB75" i="2" s="1"/>
  <c r="Z76" i="2"/>
  <c r="AB76" i="2" s="1"/>
  <c r="Z77" i="2"/>
  <c r="AB77" i="2" s="1"/>
  <c r="Z78" i="2"/>
  <c r="AB78" i="2" s="1"/>
  <c r="Z79" i="2"/>
  <c r="AB79" i="2" s="1"/>
  <c r="Z80" i="2"/>
  <c r="AB80" i="2" s="1"/>
  <c r="Z81" i="2"/>
  <c r="AB81" i="2" s="1"/>
  <c r="Z82" i="2"/>
  <c r="AB82" i="2" s="1"/>
  <c r="Z83" i="2"/>
  <c r="AB83" i="2" s="1"/>
  <c r="Z84" i="2"/>
  <c r="AB84" i="2" s="1"/>
  <c r="Z85" i="2"/>
  <c r="AB85" i="2" s="1"/>
  <c r="Z86" i="2"/>
  <c r="AB86" i="2" s="1"/>
  <c r="Z87" i="2"/>
  <c r="AB87" i="2" s="1"/>
  <c r="Z88" i="2"/>
  <c r="AB88" i="2" s="1"/>
  <c r="Z89" i="2"/>
  <c r="AB89" i="2" s="1"/>
  <c r="Z90" i="2"/>
  <c r="AB90" i="2" s="1"/>
  <c r="Z91" i="2"/>
  <c r="AB91" i="2" s="1"/>
  <c r="Z92" i="2"/>
  <c r="AB92" i="2" s="1"/>
  <c r="Z93" i="2"/>
  <c r="AB93" i="2" s="1"/>
  <c r="Z94" i="2"/>
  <c r="AB94" i="2" s="1"/>
  <c r="Z95" i="2"/>
  <c r="AB95" i="2" s="1"/>
  <c r="Z96" i="2"/>
  <c r="AB96" i="2" s="1"/>
  <c r="Z97" i="2"/>
  <c r="AB97" i="2" s="1"/>
  <c r="Z98" i="2"/>
  <c r="AB98" i="2" s="1"/>
  <c r="Z99" i="2"/>
  <c r="AB99" i="2" s="1"/>
  <c r="Z100" i="2"/>
  <c r="AB100" i="2" s="1"/>
  <c r="Z101" i="2"/>
  <c r="AB101" i="2" s="1"/>
  <c r="Z102" i="2"/>
  <c r="AB102" i="2" s="1"/>
  <c r="Z103" i="2"/>
  <c r="AB103" i="2" s="1"/>
  <c r="Z104" i="2"/>
  <c r="AB104" i="2" s="1"/>
  <c r="Z105" i="2"/>
  <c r="AB105" i="2" s="1"/>
  <c r="Z106" i="2"/>
  <c r="AB106" i="2" s="1"/>
  <c r="Z107" i="2"/>
  <c r="AB107" i="2" s="1"/>
  <c r="Z108" i="2"/>
  <c r="AB108" i="2" s="1"/>
  <c r="Z109" i="2"/>
  <c r="AB109" i="2" s="1"/>
  <c r="Z110" i="2"/>
  <c r="AB110" i="2" s="1"/>
  <c r="Z111" i="2"/>
  <c r="AB111" i="2" s="1"/>
  <c r="Z112" i="2"/>
  <c r="AB112" i="2" s="1"/>
  <c r="Z113" i="2"/>
  <c r="AB113" i="2" s="1"/>
  <c r="Z114" i="2"/>
  <c r="AB114" i="2" s="1"/>
  <c r="Z115" i="2"/>
  <c r="AB115" i="2" s="1"/>
  <c r="Z116" i="2"/>
  <c r="AB116" i="2" s="1"/>
  <c r="Z117" i="2"/>
  <c r="AB117" i="2" s="1"/>
  <c r="Z118" i="2"/>
  <c r="AB118" i="2" s="1"/>
  <c r="Z119" i="2"/>
  <c r="AB119" i="2" s="1"/>
  <c r="Z120" i="2"/>
  <c r="AB120" i="2" s="1"/>
  <c r="Z121" i="2"/>
  <c r="AB121" i="2" s="1"/>
  <c r="Z122" i="2"/>
  <c r="AB122" i="2" s="1"/>
  <c r="Z123" i="2"/>
  <c r="AB123" i="2" s="1"/>
  <c r="Z124" i="2"/>
  <c r="AB124" i="2" s="1"/>
  <c r="Z125" i="2"/>
  <c r="AB125" i="2" s="1"/>
  <c r="Z126" i="2"/>
  <c r="AB126" i="2" s="1"/>
  <c r="Z127" i="2"/>
  <c r="AB127" i="2" s="1"/>
  <c r="Z128" i="2"/>
  <c r="AB128" i="2" s="1"/>
  <c r="Z129" i="2"/>
  <c r="AB129" i="2" s="1"/>
  <c r="Z130" i="2"/>
  <c r="AB130" i="2" s="1"/>
  <c r="Z131" i="2"/>
  <c r="AB131" i="2" s="1"/>
  <c r="Z132" i="2"/>
  <c r="AB132" i="2" s="1"/>
  <c r="Z133" i="2"/>
  <c r="AB133" i="2" s="1"/>
  <c r="Z134" i="2"/>
  <c r="AB134" i="2" s="1"/>
  <c r="Z135" i="2"/>
  <c r="AB135" i="2" s="1"/>
  <c r="Z136" i="2"/>
  <c r="AB136" i="2" s="1"/>
  <c r="Z137" i="2"/>
  <c r="AB137" i="2" s="1"/>
  <c r="Z138" i="2"/>
  <c r="AB138" i="2" s="1"/>
  <c r="Z139" i="2"/>
  <c r="AB139" i="2" s="1"/>
  <c r="Z140" i="2"/>
  <c r="AB140" i="2" s="1"/>
  <c r="Z141" i="2"/>
  <c r="AB141" i="2" s="1"/>
  <c r="Z142" i="2"/>
  <c r="AB142" i="2" s="1"/>
  <c r="Z143" i="2"/>
  <c r="AB143" i="2" s="1"/>
  <c r="Z144" i="2"/>
  <c r="AB144" i="2" s="1"/>
  <c r="Z145" i="2"/>
  <c r="AB145" i="2" s="1"/>
  <c r="Z146" i="2"/>
  <c r="AB146" i="2" s="1"/>
  <c r="Z147" i="2"/>
  <c r="AB147" i="2" s="1"/>
  <c r="Z148" i="2"/>
  <c r="AB148" i="2" s="1"/>
  <c r="Z149" i="2"/>
  <c r="AB149" i="2" s="1"/>
  <c r="Z150" i="2"/>
  <c r="AB150" i="2" s="1"/>
  <c r="Z151" i="2"/>
  <c r="AB151" i="2" s="1"/>
  <c r="Z152" i="2"/>
  <c r="AB152" i="2" s="1"/>
  <c r="Z153" i="2"/>
  <c r="AB153" i="2" s="1"/>
  <c r="Z154" i="2"/>
  <c r="AB154" i="2" s="1"/>
  <c r="Z155" i="2"/>
  <c r="AB155" i="2" s="1"/>
  <c r="Z156" i="2"/>
  <c r="AB156" i="2" s="1"/>
  <c r="Z157" i="2"/>
  <c r="AB157" i="2" s="1"/>
  <c r="Z158" i="2"/>
  <c r="AB158" i="2" s="1"/>
  <c r="Z159" i="2"/>
  <c r="AB159" i="2" s="1"/>
  <c r="Z160" i="2"/>
  <c r="AB160" i="2" s="1"/>
  <c r="Z161" i="2"/>
  <c r="AB161" i="2" s="1"/>
  <c r="Z162" i="2"/>
  <c r="AB162" i="2" s="1"/>
  <c r="Z163" i="2"/>
  <c r="AB163" i="2" s="1"/>
  <c r="Z164" i="2"/>
  <c r="AB164" i="2" s="1"/>
  <c r="Z165" i="2"/>
  <c r="AB165" i="2" s="1"/>
  <c r="Z166" i="2"/>
  <c r="AB166" i="2" s="1"/>
  <c r="Z167" i="2"/>
  <c r="AB167" i="2" s="1"/>
  <c r="Z168" i="2"/>
  <c r="AB168" i="2" s="1"/>
  <c r="Z169" i="2"/>
  <c r="AB169" i="2" s="1"/>
  <c r="Z170" i="2"/>
  <c r="AB170" i="2" s="1"/>
  <c r="Z171" i="2"/>
  <c r="AB171" i="2" s="1"/>
  <c r="Z172" i="2"/>
  <c r="AB172" i="2" s="1"/>
  <c r="Z173" i="2"/>
  <c r="AB173" i="2" s="1"/>
  <c r="Z174" i="2"/>
  <c r="AB174" i="2" s="1"/>
  <c r="Z175" i="2"/>
  <c r="AB175" i="2" s="1"/>
  <c r="Z176" i="2"/>
  <c r="AB176" i="2" s="1"/>
  <c r="Z177" i="2"/>
  <c r="AB177" i="2" s="1"/>
  <c r="Z178" i="2"/>
  <c r="AB178" i="2" s="1"/>
  <c r="Z179" i="2"/>
  <c r="AB179" i="2" s="1"/>
  <c r="Z180" i="2"/>
  <c r="AB180" i="2" s="1"/>
  <c r="Z181" i="2"/>
  <c r="AB181" i="2" s="1"/>
  <c r="Z182" i="2"/>
  <c r="AB182" i="2" s="1"/>
  <c r="Z183" i="2"/>
  <c r="AB183" i="2" s="1"/>
  <c r="Z184" i="2"/>
  <c r="AB184" i="2" s="1"/>
  <c r="Z185" i="2"/>
  <c r="AB185" i="2" s="1"/>
  <c r="Z186" i="2"/>
  <c r="AB186" i="2" s="1"/>
  <c r="Z187" i="2"/>
  <c r="AB187" i="2" s="1"/>
  <c r="Z188" i="2"/>
  <c r="AB188" i="2" s="1"/>
  <c r="Z189" i="2"/>
  <c r="AB189" i="2" s="1"/>
  <c r="Z190" i="2"/>
  <c r="AB190" i="2" s="1"/>
  <c r="Z191" i="2"/>
  <c r="AB191" i="2" s="1"/>
  <c r="Z192" i="2"/>
  <c r="AB192" i="2" s="1"/>
  <c r="Z193" i="2"/>
  <c r="AB193" i="2" s="1"/>
  <c r="Z194" i="2"/>
  <c r="AB194" i="2" s="1"/>
  <c r="Z195" i="2"/>
  <c r="AB195" i="2" s="1"/>
  <c r="Z196" i="2"/>
  <c r="AB196" i="2" s="1"/>
  <c r="Z197" i="2"/>
  <c r="AB197" i="2" s="1"/>
  <c r="Z198" i="2"/>
  <c r="AB198" i="2" s="1"/>
  <c r="Z199" i="2"/>
  <c r="AB199" i="2" s="1"/>
  <c r="Z200" i="2"/>
  <c r="AB200" i="2" s="1"/>
  <c r="Z201" i="2"/>
  <c r="AB201" i="2" s="1"/>
  <c r="Z202" i="2"/>
  <c r="AB202" i="2" s="1"/>
  <c r="Z203" i="2"/>
  <c r="AB203" i="2" s="1"/>
  <c r="Z204" i="2"/>
  <c r="AB204" i="2" s="1"/>
  <c r="Z205" i="2"/>
  <c r="AB205" i="2" s="1"/>
  <c r="Z206" i="2"/>
  <c r="AB206" i="2" s="1"/>
  <c r="Z207" i="2"/>
  <c r="AB207" i="2" s="1"/>
  <c r="Z208" i="2"/>
  <c r="AB208" i="2" s="1"/>
  <c r="Z209" i="2"/>
  <c r="AB209" i="2" s="1"/>
  <c r="Z210" i="2"/>
  <c r="AB210" i="2" s="1"/>
  <c r="Z211" i="2"/>
  <c r="AB211" i="2" s="1"/>
  <c r="Z212" i="2"/>
  <c r="AB212" i="2" s="1"/>
  <c r="Z213" i="2"/>
  <c r="AB213" i="2" s="1"/>
  <c r="Z214" i="2"/>
  <c r="AB214" i="2" s="1"/>
  <c r="Z215" i="2"/>
  <c r="AB215" i="2" s="1"/>
  <c r="Z216" i="2"/>
  <c r="AB216" i="2" s="1"/>
  <c r="Z217" i="2"/>
  <c r="AB217" i="2" s="1"/>
  <c r="Z218" i="2"/>
  <c r="AB218" i="2" s="1"/>
  <c r="Z219" i="2"/>
  <c r="AB219" i="2" s="1"/>
  <c r="Z220" i="2"/>
  <c r="AB220" i="2" s="1"/>
  <c r="Z221" i="2"/>
  <c r="AB221" i="2" s="1"/>
  <c r="Z222" i="2"/>
  <c r="AB222" i="2" s="1"/>
  <c r="Z223" i="2"/>
  <c r="AB223" i="2" s="1"/>
  <c r="Z224" i="2"/>
  <c r="AB224" i="2" s="1"/>
  <c r="Z225" i="2"/>
  <c r="AB225" i="2" s="1"/>
  <c r="Z226" i="2"/>
  <c r="AB226" i="2" s="1"/>
  <c r="Z227" i="2"/>
  <c r="AB227" i="2" s="1"/>
  <c r="Z228" i="2"/>
  <c r="AB228" i="2" s="1"/>
  <c r="Z229" i="2"/>
  <c r="AB229" i="2" s="1"/>
  <c r="Z230" i="2"/>
  <c r="AB230" i="2" s="1"/>
  <c r="Z231" i="2"/>
  <c r="AB231" i="2" s="1"/>
  <c r="Z232" i="2"/>
  <c r="AB232" i="2" s="1"/>
  <c r="Z233" i="2"/>
  <c r="AB233" i="2" s="1"/>
  <c r="Z234" i="2"/>
  <c r="AB234" i="2" s="1"/>
  <c r="Z235" i="2"/>
  <c r="AB235" i="2" s="1"/>
  <c r="Z236" i="2"/>
  <c r="AB236" i="2" s="1"/>
  <c r="Z237" i="2"/>
  <c r="AB237" i="2" s="1"/>
  <c r="Z238" i="2"/>
  <c r="AB238" i="2" s="1"/>
  <c r="Z239" i="2"/>
  <c r="AB239" i="2" s="1"/>
  <c r="Z240" i="2"/>
  <c r="AB240" i="2" s="1"/>
  <c r="Z241" i="2"/>
  <c r="AB241" i="2" s="1"/>
  <c r="Z242" i="2"/>
  <c r="AB242" i="2" s="1"/>
  <c r="Z243" i="2"/>
  <c r="AB243" i="2" s="1"/>
  <c r="Z244" i="2"/>
  <c r="AB244" i="2" s="1"/>
  <c r="Z245" i="2"/>
  <c r="AB245" i="2" s="1"/>
  <c r="Z246" i="2"/>
  <c r="AB246" i="2" s="1"/>
  <c r="Z247" i="2"/>
  <c r="AB247" i="2" s="1"/>
  <c r="Z248" i="2"/>
  <c r="AB248" i="2" s="1"/>
  <c r="Z249" i="2"/>
  <c r="AB249" i="2" s="1"/>
  <c r="Z250" i="2"/>
  <c r="AB250" i="2" s="1"/>
  <c r="Z251" i="2"/>
  <c r="AB251" i="2" s="1"/>
  <c r="Z252" i="2"/>
  <c r="AB252" i="2" s="1"/>
  <c r="Z253" i="2"/>
  <c r="AB253" i="2" s="1"/>
  <c r="Z254" i="2"/>
  <c r="AB254" i="2" s="1"/>
  <c r="Z255" i="2"/>
  <c r="AB255" i="2" s="1"/>
  <c r="Z256" i="2"/>
  <c r="AB256" i="2" s="1"/>
  <c r="Z257" i="2"/>
  <c r="AB257" i="2" s="1"/>
  <c r="Z258" i="2"/>
  <c r="AB258" i="2" s="1"/>
  <c r="Z259" i="2"/>
  <c r="AB259" i="2" s="1"/>
  <c r="Z260" i="2"/>
  <c r="AB260" i="2" s="1"/>
  <c r="Z261" i="2"/>
  <c r="AB261" i="2" s="1"/>
  <c r="Z262" i="2"/>
  <c r="AB262" i="2" s="1"/>
  <c r="Z263" i="2"/>
  <c r="AB263" i="2" s="1"/>
  <c r="Z264" i="2"/>
  <c r="AB264" i="2" s="1"/>
  <c r="Z265" i="2"/>
  <c r="AB265" i="2" s="1"/>
  <c r="Z266" i="2"/>
  <c r="AB266" i="2" s="1"/>
  <c r="Z267" i="2"/>
  <c r="AB267" i="2" s="1"/>
  <c r="Z268" i="2"/>
  <c r="AB268" i="2" s="1"/>
  <c r="Z269" i="2"/>
  <c r="AB269" i="2" s="1"/>
  <c r="Z270" i="2"/>
  <c r="AB270" i="2" s="1"/>
  <c r="Z271" i="2"/>
  <c r="AB271" i="2" s="1"/>
  <c r="Z272" i="2"/>
  <c r="AB272" i="2" s="1"/>
  <c r="Z273" i="2"/>
  <c r="AB273" i="2" s="1"/>
  <c r="Z274" i="2"/>
  <c r="AB274" i="2" s="1"/>
  <c r="Z275" i="2"/>
  <c r="AB275" i="2" s="1"/>
  <c r="Z276" i="2"/>
  <c r="AB276" i="2" s="1"/>
  <c r="Z277" i="2"/>
  <c r="AB277" i="2" s="1"/>
  <c r="Z278" i="2"/>
  <c r="AB278" i="2" s="1"/>
  <c r="Z279" i="2"/>
  <c r="AB279" i="2" s="1"/>
  <c r="Z280" i="2"/>
  <c r="AB280" i="2" s="1"/>
  <c r="Z281" i="2"/>
  <c r="AB281" i="2" s="1"/>
  <c r="Z282" i="2"/>
  <c r="AB282" i="2" s="1"/>
  <c r="Z283" i="2"/>
  <c r="AB283" i="2" s="1"/>
  <c r="Z284" i="2"/>
  <c r="AB284" i="2" s="1"/>
  <c r="Z285" i="2"/>
  <c r="AB285" i="2" s="1"/>
  <c r="Z286" i="2"/>
  <c r="AB286" i="2" s="1"/>
  <c r="Z287" i="2"/>
  <c r="AB287" i="2" s="1"/>
  <c r="Z288" i="2"/>
  <c r="AB288" i="2" s="1"/>
  <c r="Z289" i="2"/>
  <c r="AB289" i="2" s="1"/>
  <c r="Z290" i="2"/>
  <c r="AB290" i="2" s="1"/>
  <c r="Z291" i="2"/>
  <c r="AB291" i="2" s="1"/>
  <c r="Z292" i="2"/>
  <c r="AB292" i="2" s="1"/>
  <c r="Z293" i="2"/>
  <c r="AB293" i="2" s="1"/>
  <c r="Z294" i="2"/>
  <c r="AB294" i="2" s="1"/>
  <c r="Z295" i="2"/>
  <c r="AB295" i="2" s="1"/>
  <c r="U29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AA275" i="2" l="1"/>
  <c r="AA251" i="2"/>
  <c r="AA195" i="2"/>
  <c r="AA139" i="2"/>
  <c r="AA83" i="2"/>
  <c r="AA293" i="2"/>
  <c r="AA285" i="2"/>
  <c r="AA277" i="2"/>
  <c r="AA269" i="2"/>
  <c r="AA261" i="2"/>
  <c r="AA253" i="2"/>
  <c r="AA245" i="2"/>
  <c r="AA237" i="2"/>
  <c r="AA229" i="2"/>
  <c r="AA221" i="2"/>
  <c r="AA213" i="2"/>
  <c r="AA205" i="2"/>
  <c r="AA197" i="2"/>
  <c r="AA189" i="2"/>
  <c r="AA181" i="2"/>
  <c r="AA173" i="2"/>
  <c r="AA165" i="2"/>
  <c r="AA157" i="2"/>
  <c r="AA149" i="2"/>
  <c r="AA141" i="2"/>
  <c r="AA133" i="2"/>
  <c r="AA125" i="2"/>
  <c r="AA117" i="2"/>
  <c r="AA109" i="2"/>
  <c r="AA101" i="2"/>
  <c r="AA93" i="2"/>
  <c r="AA85" i="2"/>
  <c r="AA77" i="2"/>
  <c r="AA69" i="2"/>
  <c r="AA61" i="2"/>
  <c r="AA53" i="2"/>
  <c r="AA45" i="2"/>
  <c r="AA37" i="2"/>
  <c r="AA29" i="2"/>
  <c r="AA21" i="2"/>
  <c r="AA13" i="2"/>
  <c r="AA259" i="2"/>
  <c r="AA203" i="2"/>
  <c r="AA147" i="2"/>
  <c r="AA75" i="2"/>
  <c r="AA292" i="2"/>
  <c r="AA284" i="2"/>
  <c r="AA276" i="2"/>
  <c r="AA268" i="2"/>
  <c r="AA260" i="2"/>
  <c r="AA252" i="2"/>
  <c r="AA244" i="2"/>
  <c r="AA236" i="2"/>
  <c r="AA228" i="2"/>
  <c r="AA220" i="2"/>
  <c r="AA212" i="2"/>
  <c r="AA204" i="2"/>
  <c r="AA196" i="2"/>
  <c r="AA188" i="2"/>
  <c r="AA180" i="2"/>
  <c r="AA172" i="2"/>
  <c r="AA164" i="2"/>
  <c r="AA156" i="2"/>
  <c r="AA148" i="2"/>
  <c r="AA140" i="2"/>
  <c r="AA132" i="2"/>
  <c r="AA124" i="2"/>
  <c r="AA116" i="2"/>
  <c r="AA108" i="2"/>
  <c r="AA100" i="2"/>
  <c r="AA92" i="2"/>
  <c r="AA84" i="2"/>
  <c r="AA76" i="2"/>
  <c r="AA68" i="2"/>
  <c r="AA60" i="2"/>
  <c r="AA52" i="2"/>
  <c r="AA44" i="2"/>
  <c r="AA36" i="2"/>
  <c r="AA28" i="2"/>
  <c r="AA20" i="2"/>
  <c r="AA12" i="2"/>
  <c r="AA235" i="2"/>
  <c r="AA171" i="2"/>
  <c r="AA115" i="2"/>
  <c r="AA67" i="2"/>
  <c r="AA27" i="2"/>
  <c r="AA19" i="2"/>
  <c r="AA11" i="2"/>
  <c r="AA290" i="2"/>
  <c r="AA282" i="2"/>
  <c r="AA274" i="2"/>
  <c r="AA266" i="2"/>
  <c r="AA258" i="2"/>
  <c r="AA250" i="2"/>
  <c r="AA242" i="2"/>
  <c r="AA234" i="2"/>
  <c r="AA226" i="2"/>
  <c r="AA218" i="2"/>
  <c r="AA210" i="2"/>
  <c r="AA202" i="2"/>
  <c r="AA194" i="2"/>
  <c r="AA186" i="2"/>
  <c r="AA178" i="2"/>
  <c r="AA170" i="2"/>
  <c r="AA162" i="2"/>
  <c r="AA154" i="2"/>
  <c r="AA146" i="2"/>
  <c r="AA138" i="2"/>
  <c r="AA130" i="2"/>
  <c r="AA122" i="2"/>
  <c r="AA114" i="2"/>
  <c r="AA106" i="2"/>
  <c r="AA98" i="2"/>
  <c r="AA90" i="2"/>
  <c r="AA82" i="2"/>
  <c r="AA74" i="2"/>
  <c r="AA66" i="2"/>
  <c r="AA58" i="2"/>
  <c r="AA50" i="2"/>
  <c r="AA42" i="2"/>
  <c r="AA34" i="2"/>
  <c r="AA26" i="2"/>
  <c r="AA18" i="2"/>
  <c r="AA10" i="2"/>
  <c r="AA267" i="2"/>
  <c r="AA211" i="2"/>
  <c r="AA155" i="2"/>
  <c r="AA99" i="2"/>
  <c r="AA51" i="2"/>
  <c r="AA281" i="2"/>
  <c r="AA273" i="2"/>
  <c r="AA265" i="2"/>
  <c r="AA257" i="2"/>
  <c r="AA249" i="2"/>
  <c r="AA241" i="2"/>
  <c r="AA233" i="2"/>
  <c r="AA225" i="2"/>
  <c r="AA217" i="2"/>
  <c r="AA209" i="2"/>
  <c r="AA201" i="2"/>
  <c r="AA193" i="2"/>
  <c r="AA185" i="2"/>
  <c r="AA177" i="2"/>
  <c r="AA169" i="2"/>
  <c r="AA161" i="2"/>
  <c r="AA153" i="2"/>
  <c r="AA145" i="2"/>
  <c r="AA137" i="2"/>
  <c r="AA129" i="2"/>
  <c r="AA121" i="2"/>
  <c r="AA113" i="2"/>
  <c r="AA105" i="2"/>
  <c r="AA97" i="2"/>
  <c r="AA89" i="2"/>
  <c r="AA81" i="2"/>
  <c r="AA73" i="2"/>
  <c r="AA65" i="2"/>
  <c r="AA57" i="2"/>
  <c r="AA49" i="2"/>
  <c r="AA41" i="2"/>
  <c r="AA33" i="2"/>
  <c r="AA25" i="2"/>
  <c r="AA17" i="2"/>
  <c r="AA9" i="2"/>
  <c r="AA291" i="2"/>
  <c r="AA219" i="2"/>
  <c r="AA163" i="2"/>
  <c r="AA107" i="2"/>
  <c r="AA35" i="2"/>
  <c r="AA288" i="2"/>
  <c r="AA280" i="2"/>
  <c r="AA272" i="2"/>
  <c r="AA264" i="2"/>
  <c r="AA256" i="2"/>
  <c r="AA248" i="2"/>
  <c r="AA240" i="2"/>
  <c r="AA232" i="2"/>
  <c r="AA224" i="2"/>
  <c r="AA216" i="2"/>
  <c r="AA208" i="2"/>
  <c r="AA200" i="2"/>
  <c r="AA192" i="2"/>
  <c r="AA184" i="2"/>
  <c r="AA176" i="2"/>
  <c r="AA168" i="2"/>
  <c r="AA160" i="2"/>
  <c r="AA152" i="2"/>
  <c r="AA144" i="2"/>
  <c r="AA136" i="2"/>
  <c r="AA128" i="2"/>
  <c r="AA120" i="2"/>
  <c r="AA112" i="2"/>
  <c r="AA104" i="2"/>
  <c r="AA96" i="2"/>
  <c r="AA88" i="2"/>
  <c r="AA80" i="2"/>
  <c r="AA72" i="2"/>
  <c r="AA64" i="2"/>
  <c r="AA56" i="2"/>
  <c r="AA48" i="2"/>
  <c r="AA40" i="2"/>
  <c r="AA32" i="2"/>
  <c r="AA24" i="2"/>
  <c r="AA16" i="2"/>
  <c r="AA8" i="2"/>
  <c r="AA243" i="2"/>
  <c r="AA187" i="2"/>
  <c r="AA131" i="2"/>
  <c r="AA59" i="2"/>
  <c r="AA289" i="2"/>
  <c r="AA295" i="2"/>
  <c r="AA287" i="2"/>
  <c r="AA279" i="2"/>
  <c r="AA271" i="2"/>
  <c r="AA263" i="2"/>
  <c r="AA255" i="2"/>
  <c r="AA247" i="2"/>
  <c r="AA239" i="2"/>
  <c r="AA231" i="2"/>
  <c r="AA223" i="2"/>
  <c r="AA215" i="2"/>
  <c r="AA207" i="2"/>
  <c r="AA199" i="2"/>
  <c r="AA191" i="2"/>
  <c r="AA183" i="2"/>
  <c r="AA175" i="2"/>
  <c r="AA167" i="2"/>
  <c r="AA159" i="2"/>
  <c r="AA151" i="2"/>
  <c r="AA143" i="2"/>
  <c r="AA135" i="2"/>
  <c r="AA127" i="2"/>
  <c r="AA119" i="2"/>
  <c r="AA111" i="2"/>
  <c r="AA103" i="2"/>
  <c r="AA95" i="2"/>
  <c r="AA87" i="2"/>
  <c r="AA79" i="2"/>
  <c r="AA71" i="2"/>
  <c r="AA63" i="2"/>
  <c r="AA55" i="2"/>
  <c r="AA47" i="2"/>
  <c r="AA39" i="2"/>
  <c r="AA31" i="2"/>
  <c r="AA23" i="2"/>
  <c r="AA15" i="2"/>
  <c r="AA7" i="2"/>
  <c r="AA283" i="2"/>
  <c r="AA227" i="2"/>
  <c r="AA179" i="2"/>
  <c r="AA123" i="2"/>
  <c r="AA91" i="2"/>
  <c r="AA43" i="2"/>
  <c r="AA294" i="2"/>
  <c r="AA286" i="2"/>
  <c r="AA278" i="2"/>
  <c r="AA270" i="2"/>
  <c r="AA262" i="2"/>
  <c r="AA254" i="2"/>
  <c r="AA246" i="2"/>
  <c r="AA238" i="2"/>
  <c r="AA230" i="2"/>
  <c r="AA222" i="2"/>
  <c r="AA214" i="2"/>
  <c r="AA206" i="2"/>
  <c r="AA198" i="2"/>
  <c r="AA190" i="2"/>
  <c r="AA182" i="2"/>
  <c r="AA174" i="2"/>
  <c r="AA166" i="2"/>
  <c r="AA158" i="2"/>
  <c r="AA150" i="2"/>
  <c r="AA142" i="2"/>
  <c r="AA134" i="2"/>
  <c r="AA126" i="2"/>
  <c r="AA118" i="2"/>
  <c r="AA110" i="2"/>
  <c r="AA102" i="2"/>
  <c r="AA94" i="2"/>
  <c r="AA86" i="2"/>
  <c r="AA78" i="2"/>
  <c r="AA70" i="2"/>
  <c r="AA62" i="2"/>
  <c r="AA54" i="2"/>
  <c r="AA46" i="2"/>
  <c r="AA38" i="2"/>
  <c r="AA30" i="2"/>
  <c r="AA22" i="2"/>
  <c r="AA14" i="2"/>
  <c r="AA6" i="2"/>
  <c r="X296"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D7999F12-74E2-4D2A-B6DD-E85ACEC7E6A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<sst xmlns="http://schemas.openxmlformats.org/spreadsheetml/2006/main" count="2550" uniqueCount="1459">
  <si>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</si>
  <si>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</si>
  <si>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</si>
  <si>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</si>
  <si>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</si>
  <si>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</si>
  <si>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</si>
  <si>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</si>
  <si>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</si>
  <si>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</si>
  <si>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</si>
  <si>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</si>
  <si>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</si>
  <si>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</si>
  <si>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</si>
  <si>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</si>
  <si>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</si>
  <si>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</si>
  <si>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</si>
  <si>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</si>
  <si>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</si>
  <si>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</si>
  <si>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</si>
  <si>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</si>
  <si>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</si>
  <si>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</si>
  <si>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</si>
  <si>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</si>
  <si>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</si>
  <si>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</si>
  <si>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</si>
  <si>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</si>
  <si>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</si>
  <si>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</si>
  <si>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</si>
  <si>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</si>
  <si>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</si>
  <si>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</si>
  <si>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</si>
  <si>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</si>
  <si>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</si>
  <si>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</si>
  <si>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</si>
  <si>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</si>
  <si>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</si>
  <si>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</si>
  <si>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</si>
  <si>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</si>
  <si>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</si>
  <si>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</si>
  <si>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</si>
  <si>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</si>
  <si>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</si>
  <si>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</si>
  <si>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</si>
  <si>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</si>
  <si>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</si>
  <si>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</si>
  <si>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</si>
  <si>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</si>
  <si>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</si>
  <si>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</si>
  <si>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</si>
  <si>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</si>
  <si>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</si>
  <si>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</si>
  <si>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</si>
  <si>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</si>
  <si>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</si>
  <si>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</si>
  <si>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</si>
  <si>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</si>
  <si>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</si>
  <si>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</si>
  <si>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</si>
  <si>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</si>
  <si>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</si>
  <si>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</si>
  <si>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</si>
  <si>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</si>
  <si>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</si>
  <si>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</si>
  <si>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</si>
  <si>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</si>
  <si>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</si>
  <si>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</si>
  <si>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</si>
  <si>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</si>
  <si>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</si>
  <si>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</si>
  <si>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</si>
  <si>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</si>
  <si>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</si>
  <si>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</si>
  <si>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</si>
  <si>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</si>
  <si>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</si>
  <si>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</si>
  <si>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</si>
  <si>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</si>
  <si>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</si>
  <si>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</si>
  <si>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</si>
  <si>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</si>
  <si>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</si>
  <si>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</si>
  <si>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</si>
  <si>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</si>
  <si>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</si>
  <si>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</si>
  <si>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</si>
  <si>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</si>
  <si>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</si>
  <si>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</si>
  <si>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</si>
  <si>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</si>
  <si>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</si>
  <si>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</si>
  <si>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</si>
  <si>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</si>
  <si>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</si>
  <si>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</si>
  <si>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</si>
  <si>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</si>
  <si>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</si>
  <si>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</si>
  <si>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</si>
  <si>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</si>
  <si>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</si>
  <si>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</si>
  <si>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</si>
  <si>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</si>
  <si>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</si>
  <si>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</si>
  <si>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</si>
  <si>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</si>
  <si>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</si>
  <si>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</si>
  <si>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</si>
  <si>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</si>
  <si>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</si>
  <si>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</si>
  <si>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</si>
  <si>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</si>
  <si>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</si>
  <si>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</si>
  <si>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</si>
  <si>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</si>
  <si>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</si>
  <si>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</si>
  <si>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</si>
  <si>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</si>
  <si>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</si>
  <si>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</si>
  <si>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</si>
  <si>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</si>
  <si>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</si>
  <si>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</si>
  <si>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</si>
  <si>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</si>
  <si>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</si>
  <si>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</si>
  <si>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</si>
  <si>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</si>
  <si>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</si>
  <si>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</si>
  <si>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</si>
  <si>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</si>
  <si>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</si>
  <si>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</si>
  <si>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</si>
  <si>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</si>
  <si>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</si>
  <si>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</si>
  <si>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</si>
  <si>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</si>
  <si>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</si>
  <si>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</si>
  <si>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</si>
  <si>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</si>
  <si>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</si>
  <si>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</si>
  <si>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</si>
  <si>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</si>
  <si>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</si>
  <si>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</si>
  <si>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</si>
  <si>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</si>
  <si>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</si>
  <si>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</si>
  <si>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</si>
  <si>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</si>
  <si>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</si>
  <si>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</si>
  <si>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</si>
  <si>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</si>
  <si>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</si>
  <si>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</si>
  <si>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</si>
  <si>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</si>
  <si>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</si>
  <si>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</si>
  <si>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</si>
  <si>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</si>
  <si>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</si>
  <si>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</si>
  <si>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</si>
  <si>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</si>
  <si>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</si>
  <si>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</si>
  <si>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</si>
  <si>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</si>
  <si>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</si>
  <si>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</si>
  <si>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</si>
  <si>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</si>
  <si>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</si>
  <si>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</si>
  <si>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</si>
  <si>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</si>
  <si>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</si>
  <si>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</si>
  <si>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</si>
  <si>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</si>
  <si>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</si>
  <si>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</si>
  <si>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</si>
  <si>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</si>
  <si>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</si>
  <si>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</si>
  <si>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</si>
  <si>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</si>
  <si>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</si>
  <si>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</si>
  <si>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</si>
  <si>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</si>
  <si>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</si>
  <si>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</si>
  <si>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</si>
  <si>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</si>
  <si>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</si>
  <si>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</si>
  <si>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</si>
  <si>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</si>
  <si>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</si>
  <si>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</si>
  <si>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</si>
  <si>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</si>
  <si>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</si>
  <si>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</si>
  <si>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</si>
  <si>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</si>
  <si>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</si>
  <si>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</si>
  <si>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</si>
  <si>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</si>
  <si>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</si>
  <si>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</si>
  <si>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</si>
  <si>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</si>
  <si>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</si>
  <si>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</si>
  <si>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</si>
  <si>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</si>
  <si>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</si>
  <si>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</si>
  <si>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</si>
  <si>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</si>
  <si>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</si>
  <si>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</si>
  <si>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</si>
  <si>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</si>
  <si>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</si>
  <si>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</si>
  <si>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</si>
  <si>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</si>
  <si>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</si>
  <si>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</si>
  <si>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</si>
  <si>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</si>
  <si>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</si>
  <si>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</si>
  <si>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</si>
  <si>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</si>
  <si>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</si>
  <si>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</si>
  <si>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</si>
  <si>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</si>
  <si>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</si>
  <si>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</si>
  <si>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</si>
  <si>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</si>
  <si>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</si>
  <si>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</si>
  <si>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</si>
  <si>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</si>
  <si>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</si>
  <si>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</si>
  <si>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</si>
  <si>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</si>
  <si>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</si>
  <si>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</si>
  <si>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</si>
  <si>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</si>
  <si>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</si>
  <si>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</si>
  <si>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</si>
  <si>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</si>
  <si>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</si>
  <si>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</si>
  <si>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</si>
  <si>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</si>
  <si>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</si>
  <si>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</si>
  <si>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</si>
  <si>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</si>
  <si>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</si>
  <si>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</si>
  <si>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</si>
  <si>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</si>
  <si>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</si>
  <si>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</si>
  <si>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</si>
  <si>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</si>
  <si>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</si>
  <si>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</si>
  <si>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</si>
  <si>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</si>
  <si>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</si>
  <si>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</si>
  <si>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</si>
  <si>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</si>
  <si>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</si>
  <si>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</si>
  <si>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</si>
  <si>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</si>
  <si>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</si>
  <si>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</si>
  <si>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</si>
  <si>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</si>
  <si>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</si>
  <si>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</si>
  <si>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</si>
  <si>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</si>
  <si>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</si>
  <si>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</si>
  <si>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</si>
  <si>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</si>
  <si>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</si>
  <si>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</si>
  <si>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</si>
  <si>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</si>
  <si>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</si>
  <si>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</si>
  <si>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</si>
  <si>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</si>
  <si>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</si>
  <si>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</si>
  <si>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</si>
  <si>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</si>
  <si>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</si>
  <si>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</si>
  <si>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</si>
  <si>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</si>
  <si>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</si>
  <si>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</si>
  <si>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</si>
  <si>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</si>
  <si>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</si>
  <si>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</si>
  <si>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</si>
  <si>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</si>
  <si>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</si>
  <si>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</si>
  <si>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</si>
  <si>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</si>
  <si>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</si>
  <si>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</si>
  <si>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</si>
  <si>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</si>
  <si>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</si>
  <si>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</si>
  <si>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</si>
  <si>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</si>
  <si>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</si>
  <si>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</si>
  <si>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</si>
  <si>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</si>
  <si>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</si>
  <si>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</si>
  <si>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</si>
  <si>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</si>
  <si>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</si>
  <si>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</si>
  <si>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</si>
  <si>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</si>
  <si>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</si>
  <si>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</si>
  <si>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</si>
  <si>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</si>
  <si>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</si>
  <si>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</si>
  <si>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</si>
  <si>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</si>
  <si>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</si>
  <si>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</si>
  <si>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</si>
  <si>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</si>
  <si>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</si>
  <si>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</si>
  <si>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</si>
  <si>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</si>
  <si>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</si>
  <si>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</si>
  <si>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</si>
  <si>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</si>
  <si>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</si>
  <si>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</si>
  <si>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</si>
  <si>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</si>
  <si>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</si>
  <si>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</si>
  <si>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</si>
  <si>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</si>
  <si>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</si>
  <si>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</si>
  <si>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</si>
  <si>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</si>
  <si>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</si>
  <si>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</si>
  <si>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</si>
  <si>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</si>
  <si>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</si>
  <si>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</si>
  <si>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</si>
  <si>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</si>
  <si>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</si>
  <si>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</si>
  <si>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</si>
  <si>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</si>
  <si>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</si>
  <si>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</si>
  <si>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</si>
  <si>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</si>
  <si>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</si>
  <si>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</si>
  <si>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</si>
  <si>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</si>
  <si>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</si>
  <si>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</si>
  <si>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</si>
  <si>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</si>
  <si>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</si>
  <si>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</si>
  <si>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</si>
  <si>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</si>
  <si>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</si>
  <si>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</si>
  <si>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</si>
  <si>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</si>
  <si>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</si>
  <si>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</si>
  <si>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</si>
  <si>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</si>
  <si>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</si>
  <si>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</si>
  <si>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</si>
  <si>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</si>
  <si>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</si>
  <si>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</si>
  <si>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</si>
  <si>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</si>
  <si>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</si>
  <si>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</si>
  <si>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</si>
  <si>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</si>
  <si>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</si>
  <si>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</si>
  <si>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</si>
  <si>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</si>
  <si>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</si>
  <si>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</si>
  <si>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</si>
  <si>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</si>
  <si>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</si>
  <si>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</si>
  <si>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</si>
  <si>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</si>
  <si>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</si>
  <si>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</si>
  <si>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</si>
  <si>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</si>
  <si>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</si>
  <si>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</si>
  <si>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</si>
  <si>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</si>
  <si>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</si>
  <si>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</si>
  <si>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</si>
  <si>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</si>
  <si>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</si>
  <si>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</si>
  <si>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</si>
  <si>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</si>
  <si>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</si>
  <si>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</si>
  <si>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</si>
  <si>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</si>
  <si>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</si>
  <si>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</si>
  <si>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</si>
  <si>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</si>
  <si>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</si>
  <si>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</si>
  <si>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</si>
  <si>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</si>
  <si>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</si>
  <si>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</si>
  <si>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</si>
  <si>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</si>
  <si>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</si>
  <si>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</si>
  <si>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</si>
  <si>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</si>
  <si>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</si>
  <si>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</si>
  <si>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</si>
  <si>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</si>
  <si>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</si>
  <si>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</si>
  <si>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</si>
  <si>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</si>
  <si>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</si>
  <si>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</si>
  <si>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</si>
  <si>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</si>
  <si>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</si>
  <si>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</si>
  <si>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</si>
  <si>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</si>
  <si>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</si>
  <si>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</si>
  <si>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</si>
  <si>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</si>
  <si>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</si>
  <si>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</si>
  <si>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</si>
  <si>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</si>
  <si>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</si>
  <si>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</si>
  <si>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</si>
  <si>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</si>
  <si>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</si>
  <si>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</si>
  <si>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</si>
  <si>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</si>
  <si>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</si>
  <si>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</si>
  <si>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</si>
  <si>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</si>
  <si>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</si>
  <si>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</si>
  <si>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</si>
  <si>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</si>
  <si>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</si>
  <si>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</si>
  <si>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</si>
  <si>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</si>
  <si>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</si>
  <si>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</si>
  <si>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</si>
  <si>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</si>
  <si>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</si>
  <si>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</si>
  <si>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</si>
  <si>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</si>
  <si>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</si>
  <si>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</si>
  <si>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</si>
  <si>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</si>
  <si>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</si>
  <si>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</si>
  <si>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</si>
  <si>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</si>
  <si>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</si>
  <si>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</si>
  <si>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</si>
  <si>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</si>
  <si>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</si>
  <si>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</si>
  <si>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</si>
  <si>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</si>
  <si>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</si>
  <si>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</si>
  <si>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</si>
  <si>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</si>
  <si>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</si>
  <si>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</si>
  <si>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</si>
  <si>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</si>
  <si>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</si>
  <si>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</si>
  <si>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</si>
  <si>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</si>
  <si>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</si>
  <si>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</si>
  <si>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</si>
  <si>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</si>
  <si>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</si>
  <si>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</si>
  <si>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</si>
  <si>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</si>
  <si>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</si>
  <si>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</si>
  <si>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</si>
  <si>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</si>
  <si>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</si>
  <si>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</si>
  <si>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</si>
  <si>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</si>
  <si>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</si>
  <si>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</si>
  <si>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</si>
  <si>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</si>
  <si>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</si>
  <si>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</si>
  <si>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</si>
  <si>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</si>
  <si>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</si>
  <si>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</si>
  <si>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</si>
  <si>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</si>
  <si>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</si>
  <si>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</si>
  <si>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</si>
  <si>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</si>
  <si>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</si>
  <si>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</si>
  <si>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</si>
  <si>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</si>
  <si>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</si>
  <si>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</si>
  <si>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</si>
  <si>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</si>
  <si>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</si>
  <si>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</si>
  <si>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</si>
  <si>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</si>
  <si>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</si>
  <si>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</si>
  <si>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</si>
  <si>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</si>
  <si>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</si>
  <si>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</si>
  <si>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</si>
  <si>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</si>
  <si>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</si>
  <si>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</si>
  <si>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</si>
  <si>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</si>
  <si>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</si>
  <si>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</si>
  <si>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</si>
  <si>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</si>
  <si>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</si>
  <si>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</si>
  <si>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</si>
  <si>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</si>
  <si>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</si>
  <si>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</si>
  <si>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</si>
  <si>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</si>
  <si>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</si>
  <si>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</si>
  <si>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</si>
  <si>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</si>
  <si>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</si>
  <si>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</si>
  <si>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</si>
  <si>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</si>
  <si>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</si>
  <si>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</si>
  <si>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</si>
  <si>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</si>
  <si>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</si>
  <si>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</si>
  <si>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</si>
  <si>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</si>
  <si>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</si>
  <si>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</si>
  <si>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</si>
  <si>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</si>
  <si>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</si>
  <si>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</si>
  <si>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</si>
  <si>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</si>
  <si>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</si>
  <si>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</si>
  <si>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</si>
  <si>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</si>
  <si>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</si>
  <si>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</si>
  <si>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</si>
  <si>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</si>
  <si>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</si>
  <si>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</si>
  <si>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</si>
  <si>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</si>
  <si>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</si>
  <si>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</si>
  <si>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</si>
  <si>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</si>
  <si>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</si>
  <si>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</si>
  <si>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</si>
  <si>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</si>
  <si>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</si>
  <si>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</si>
  <si>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</si>
  <si>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</si>
  <si>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</si>
  <si>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</si>
  <si>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</si>
  <si>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</si>
  <si>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</si>
  <si>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</si>
  <si>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</si>
  <si>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</si>
  <si>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</si>
  <si>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</si>
  <si>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</si>
  <si>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</si>
  <si>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</si>
  <si>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</si>
  <si>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</si>
  <si>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</si>
  <si>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</si>
  <si>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</si>
  <si>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</si>
  <si>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</si>
  <si>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</si>
  <si>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</si>
  <si>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</si>
  <si>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</si>
  <si>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</si>
  <si>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</si>
  <si>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</si>
  <si>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</si>
  <si>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</si>
  <si>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</si>
  <si>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</si>
  <si>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</si>
  <si>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</si>
  <si>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</si>
  <si>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</si>
  <si>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</si>
  <si>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</si>
  <si>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</si>
  <si>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</si>
  <si>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</si>
  <si>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</si>
  <si>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</si>
  <si>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</si>
  <si>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</si>
  <si>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</si>
  <si>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</si>
  <si>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</si>
  <si>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</si>
  <si>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</si>
  <si>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</si>
  <si>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</si>
  <si>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</si>
  <si>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</si>
  <si>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</si>
  <si>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</si>
  <si>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</si>
  <si>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</si>
  <si>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</si>
  <si>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</si>
  <si>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</si>
  <si>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</si>
  <si>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</si>
  <si>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</si>
  <si>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</si>
  <si>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</si>
  <si>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</si>
  <si>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</si>
  <si>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</si>
  <si>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</si>
  <si>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</si>
  <si>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</si>
  <si>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</si>
  <si>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</si>
  <si>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</si>
  <si>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</si>
  <si>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</si>
  <si>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</si>
  <si>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</si>
  <si>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</si>
  <si>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</si>
  <si>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</si>
  <si>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</si>
  <si>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</si>
  <si>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</si>
  <si>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</si>
  <si>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</si>
  <si>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</si>
  <si>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</si>
  <si>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</si>
  <si>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</si>
  <si>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</si>
  <si>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</si>
  <si>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</si>
  <si>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</si>
  <si>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</si>
  <si>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</si>
  <si>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</si>
  <si>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</si>
  <si>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</si>
  <si>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</si>
  <si>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</si>
  <si>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</si>
  <si>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</si>
  <si>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</si>
  <si>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</si>
  <si>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</si>
  <si>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</si>
  <si>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</si>
  <si>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</si>
  <si>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</si>
  <si>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</si>
  <si>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</si>
  <si>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</si>
  <si>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</si>
  <si>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</si>
  <si>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</si>
  <si>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</si>
  <si>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</si>
  <si>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</si>
  <si>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</si>
  <si>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</si>
  <si>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</si>
  <si>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</si>
  <si>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</si>
  <si>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</si>
  <si>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</si>
  <si>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</si>
  <si>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</si>
  <si>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</si>
  <si>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</si>
  <si>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</si>
  <si>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</si>
  <si>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</si>
  <si>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</si>
  <si>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</si>
  <si>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</si>
  <si>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</si>
  <si>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</si>
  <si>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</si>
  <si>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</si>
  <si>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</si>
  <si>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</si>
  <si>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</si>
  <si>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</si>
  <si>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</si>
  <si>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</si>
  <si>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</si>
  <si>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</si>
  <si>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</si>
  <si>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</si>
  <si>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</si>
  <si>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</si>
  <si>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</si>
  <si>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</si>
  <si>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</si>
  <si>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</si>
  <si>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</si>
  <si>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</si>
  <si>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</si>
  <si>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</si>
  <si>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</si>
  <si>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</si>
  <si>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</si>
  <si>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</si>
  <si>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</si>
  <si>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</si>
  <si>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</si>
  <si>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</si>
  <si>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</si>
  <si>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</si>
  <si>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</si>
  <si>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</si>
  <si>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</si>
  <si>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</si>
  <si>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</si>
  <si>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</si>
  <si>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</si>
  <si>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</si>
  <si>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</si>
  <si>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</si>
  <si>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</si>
  <si>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</si>
  <si>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</si>
  <si>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</si>
  <si>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</si>
  <si>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</si>
  <si>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</si>
  <si>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</si>
  <si>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</si>
  <si>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</si>
  <si>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</si>
  <si>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</si>
  <si>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</si>
  <si>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</si>
  <si>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</si>
  <si>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</si>
  <si>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</si>
  <si>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</si>
  <si>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</si>
  <si>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</si>
  <si>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</si>
  <si>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</si>
  <si>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</si>
  <si>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</si>
  <si>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</si>
  <si>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</si>
  <si>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</si>
  <si>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</si>
  <si>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</si>
  <si>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</si>
  <si>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</si>
  <si>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</si>
  <si>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</si>
  <si>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</si>
  <si>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</si>
  <si>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</si>
  <si>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</si>
  <si>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</si>
  <si>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</si>
  <si>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</si>
  <si>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</si>
  <si>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</si>
  <si>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</si>
  <si>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</si>
  <si>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</si>
  <si>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</si>
  <si>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</si>
  <si>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</si>
  <si>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</si>
  <si>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</si>
  <si>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</si>
  <si>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</si>
  <si>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</si>
  <si>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</si>
  <si>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</si>
  <si>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</si>
  <si>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</si>
  <si>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</si>
  <si>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</si>
  <si>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</si>
  <si>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</si>
  <si>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</si>
  <si>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</si>
  <si>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</si>
  <si>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</si>
  <si>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</si>
  <si>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</si>
  <si>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</si>
  <si>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</si>
  <si>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</si>
  <si>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</si>
  <si>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</si>
  <si>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</si>
  <si>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</si>
  <si>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</si>
  <si>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</si>
  <si>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</si>
  <si>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</si>
  <si>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</si>
  <si>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</si>
  <si>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</si>
  <si>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</si>
  <si>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</si>
  <si>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</si>
  <si>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</si>
  <si>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</si>
  <si>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</si>
  <si>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</si>
  <si>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</si>
  <si>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</si>
  <si>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</si>
  <si>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</si>
  <si>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</si>
  <si>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</si>
  <si>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</si>
  <si>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</si>
  <si>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</si>
  <si>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</si>
  <si>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</si>
  <si>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</si>
  <si>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</si>
  <si>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</si>
  <si>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</si>
  <si>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</si>
  <si>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</si>
  <si>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</si>
  <si>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</si>
  <si>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</si>
  <si>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</si>
  <si>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</si>
  <si>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</si>
  <si>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</si>
  <si>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</si>
  <si>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</si>
  <si>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</si>
  <si>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</si>
  <si>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</si>
  <si>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</si>
  <si>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</si>
  <si>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</si>
  <si>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</si>
  <si>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</si>
  <si>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</si>
  <si>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</si>
  <si>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</si>
  <si>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</si>
  <si>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</si>
  <si>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</si>
  <si>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</si>
  <si>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</si>
  <si>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</si>
  <si>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</si>
  <si>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</si>
  <si>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</si>
  <si>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</si>
  <si>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</si>
  <si>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</si>
  <si>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</si>
  <si>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</si>
  <si>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</si>
  <si>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</si>
  <si>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</si>
  <si>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</si>
  <si>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</si>
  <si>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</si>
  <si>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</si>
  <si>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</si>
  <si>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</si>
  <si>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</si>
  <si>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</si>
  <si>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</si>
  <si>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</si>
  <si>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</si>
  <si>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</si>
  <si>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</si>
  <si>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</si>
  <si>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</si>
  <si>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</si>
  <si>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</si>
  <si>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</si>
  <si>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</si>
  <si>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</si>
  <si>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</si>
  <si>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</si>
  <si>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</si>
  <si>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</si>
  <si>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</si>
  <si>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</si>
  <si>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</si>
  <si>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</si>
  <si>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</si>
  <si>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</si>
  <si>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</si>
  <si>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</si>
  <si>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</si>
  <si>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</si>
  <si>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</si>
  <si>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</si>
  <si>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</si>
  <si>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</si>
  <si>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</si>
  <si>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</si>
  <si>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</si>
  <si>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</si>
  <si>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</si>
  <si>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</si>
  <si>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</si>
  <si>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</si>
  <si>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</si>
  <si>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</si>
  <si>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</si>
  <si>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</si>
  <si>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</si>
  <si>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</si>
  <si>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</si>
  <si>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</si>
  <si>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</si>
  <si>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</si>
  <si>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</si>
  <si>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</si>
  <si>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</si>
  <si>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</si>
  <si>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</si>
  <si>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</si>
  <si>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</si>
  <si>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</si>
  <si>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</si>
  <si>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</si>
  <si>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</si>
  <si>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</si>
  <si>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</si>
  <si>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</si>
  <si>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</si>
  <si>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</si>
  <si>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</si>
  <si>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</si>
  <si>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</si>
  <si>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</si>
  <si>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</si>
  <si>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</si>
  <si>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</si>
  <si>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</si>
  <si>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</si>
  <si>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</si>
  <si>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</si>
  <si>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</si>
  <si>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</si>
  <si>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</si>
  <si>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</si>
  <si>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</si>
  <si>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</si>
  <si>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</si>
  <si>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</si>
  <si>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</si>
  <si>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</si>
  <si>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</si>
  <si>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</si>
  <si>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</si>
  <si>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</si>
  <si>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</si>
  <si>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</si>
  <si>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</si>
  <si>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</si>
  <si>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</si>
  <si>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</si>
  <si>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</si>
  <si>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</si>
  <si>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</si>
  <si>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</si>
  <si>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</si>
  <si>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</si>
  <si>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</si>
  <si>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</si>
  <si>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</si>
  <si>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</si>
  <si>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</si>
  <si>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</si>
  <si>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</si>
  <si>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</si>
  <si>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</si>
  <si>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</si>
  <si>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</si>
  <si>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</si>
  <si>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</si>
  <si>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</si>
  <si>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</si>
  <si>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</si>
  <si>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</si>
  <si>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</si>
  <si>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</si>
  <si>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</si>
  <si>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</si>
  <si>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</si>
  <si>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</si>
  <si>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</si>
  <si>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</si>
  <si>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</si>
  <si>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</si>
  <si>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</si>
  <si>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</si>
  <si>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</si>
  <si>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</si>
  <si>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</si>
  <si>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</si>
  <si>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</si>
  <si>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</si>
  <si>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</si>
  <si>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</si>
  <si>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</si>
  <si>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</si>
  <si>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</si>
  <si>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</si>
  <si>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</si>
  <si>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</si>
  <si>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</si>
  <si>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</si>
  <si>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</si>
  <si>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</si>
  <si>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</si>
  <si>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</si>
  <si>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</si>
  <si>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</si>
  <si>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</si>
  <si>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</si>
  <si>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</si>
  <si>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</si>
  <si>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</si>
  <si>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</si>
  <si>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</si>
  <si>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</si>
  <si>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</si>
  <si>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</si>
  <si>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</si>
  <si>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</si>
  <si>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</si>
  <si>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</si>
  <si>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</si>
  <si>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</si>
  <si>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</si>
  <si>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</si>
  <si>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</si>
  <si>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</si>
  <si>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</si>
  <si>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</si>
  <si>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</si>
  <si>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</si>
  <si>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</si>
  <si>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</si>
  <si>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</si>
  <si>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</si>
  <si>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</si>
  <si>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</si>
  <si>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</si>
  <si>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</si>
  <si>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</si>
  <si>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</si>
  <si>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</si>
  <si>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</si>
  <si>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</si>
  <si>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</si>
  <si>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</si>
  <si>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</si>
  <si>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</si>
  <si>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</si>
  <si>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</si>
  <si>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</si>
  <si>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</si>
  <si>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</si>
  <si>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</si>
  <si>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</si>
  <si>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</si>
  <si>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</si>
  <si>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</si>
  <si>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</si>
  <si>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</si>
  <si>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</si>
  <si>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</si>
  <si>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</si>
  <si>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</si>
  <si>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</si>
  <si>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</si>
  <si>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</si>
  <si>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</si>
  <si>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</si>
  <si>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</si>
  <si>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</si>
  <si>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</si>
  <si>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</si>
  <si>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</si>
  <si>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</si>
  <si>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</si>
  <si>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</si>
  <si>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</si>
  <si>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</si>
  <si>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</si>
  <si>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</si>
  <si>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</si>
  <si>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</si>
  <si>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</si>
  <si>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</si>
  <si>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</si>
  <si>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</si>
  <si>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</si>
  <si>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</si>
  <si>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</si>
  <si>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</si>
  <si>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</si>
  <si>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</si>
  <si>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</si>
  <si>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</si>
  <si>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</si>
  <si>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</si>
  <si>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</si>
  <si>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</si>
  <si>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</si>
  <si>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</si>
  <si>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</si>
  <si>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</si>
  <si>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</si>
  <si>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</si>
  <si>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</si>
  <si>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</si>
  <si>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</si>
  <si>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</si>
  <si>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</si>
  <si>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</si>
  <si>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</si>
  <si>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</si>
  <si>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</si>
  <si>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</si>
  <si>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</si>
  <si>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</si>
  <si>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</si>
  <si>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</si>
  <si>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</si>
  <si>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</si>
  <si>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</si>
  <si>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</si>
  <si>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</si>
  <si>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</si>
  <si>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</si>
  <si>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</si>
  <si>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</si>
  <si>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</si>
  <si>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</si>
  <si>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</si>
  <si>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</si>
  <si>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</si>
  <si>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</si>
  <si>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</si>
  <si>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</si>
  <si>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</si>
  <si>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</si>
  <si>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</si>
  <si>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</si>
  <si>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</si>
  <si>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</si>
  <si>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</si>
  <si>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</si>
  <si>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</si>
  <si>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</si>
  <si>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</si>
  <si>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</si>
  <si>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</si>
  <si>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</si>
  <si>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</si>
  <si>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</si>
  <si>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</si>
  <si>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</si>
  <si>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</si>
  <si>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</si>
  <si>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</si>
  <si>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</si>
  <si>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</si>
  <si>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</si>
  <si>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</si>
  <si>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</si>
  <si>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</si>
  <si>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</si>
  <si>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</si>
  <si>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</si>
  <si>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</si>
  <si>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</si>
  <si>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</si>
  <si>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</si>
  <si>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</si>
  <si>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</si>
  <si>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</si>
  <si>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</si>
  <si>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</si>
  <si>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</si>
  <si>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</si>
  <si>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</si>
  <si>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</si>
  <si>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</si>
  <si>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</si>
  <si>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</si>
  <si>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</si>
  <si>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</si>
  <si>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</si>
  <si>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</si>
  <si>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</si>
  <si>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</si>
  <si>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</si>
  <si>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</si>
  <si>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</si>
  <si>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</si>
  <si>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</si>
  <si>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</si>
  <si>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</si>
  <si>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</si>
  <si>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</si>
  <si>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</si>
  <si>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</si>
  <si>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</si>
  <si>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</si>
  <si>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</si>
  <si>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</si>
  <si>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</si>
  <si>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</si>
  <si>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</si>
  <si>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</si>
  <si>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</si>
  <si>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Освоение на 01.02.2023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</si>
  <si>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</si>
  <si>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</si>
  <si>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</si>
  <si>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</si>
  <si>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</si>
  <si>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</si>
  <si>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</si>
  <si>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</si>
  <si>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</si>
  <si>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</si>
  <si>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</si>
  <si>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</si>
  <si>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</si>
  <si>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</si>
  <si>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</si>
  <si>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</si>
  <si>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</si>
  <si>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</si>
  <si>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</si>
  <si>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</si>
  <si>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</si>
  <si>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</si>
  <si>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</si>
  <si>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</si>
  <si>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</si>
  <si>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</si>
  <si>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</si>
  <si>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</si>
  <si>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</si>
  <si>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</si>
  <si>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</si>
  <si>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</si>
  <si>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</si>
  <si>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</si>
  <si>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</si>
  <si>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</si>
  <si>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</si>
  <si>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</si>
  <si>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</si>
  <si>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</si>
  <si>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</si>
  <si>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</si>
  <si>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</si>
  <si>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</si>
  <si>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</si>
  <si>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</si>
  <si>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</si>
  <si>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</si>
  <si>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</si>
  <si>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</si>
  <si>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</si>
  <si>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</si>
  <si>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</si>
  <si>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</si>
  <si>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Проверка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</si>
</sst>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 _₽_-;\-* #,##0.00\ _₽_-;_-* &quot;-&quot;??\ _₽_-;_-@_-"/>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5">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5"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4" fontId="5" fillId="0" borderId="2" xfId="0" applyNumberFormat="1" applyFont="1" applyBorder="1" applyAlignment="1">
      <alignment horizontal="center" vertical="center" wrapText="1"/>
    </xf>
    <xf numFmtId="165"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4" fillId="0" borderId="2" xfId="0" applyNumberFormat="1"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4" fontId="5"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left" vertical="center" wrapText="1"/>
    </xf>
    <xf numFmtId="49" fontId="5" fillId="0" borderId="6" xfId="0" applyNumberFormat="1"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vertical="center" wrapText="1"/>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5" fontId="5" fillId="3" borderId="0" xfId="3" applyFont="1" applyFill="1" applyAlignment="1">
      <alignment vertical="center"/>
    </xf>
    <xf numFmtId="2" fontId="5" fillId="0" borderId="0" xfId="0" applyNumberFormat="1" applyFont="1" applyAlignment="1">
      <alignment vertical="center"/>
    </xf>
    <xf numFmtId="164" fontId="5" fillId="0" borderId="0" xfId="0" applyNumberFormat="1" applyFont="1" applyAlignment="1">
      <alignment vertical="center"/>
    </xf>
    <xf numFmtId="165" fontId="5" fillId="3" borderId="0" xfId="0" applyNumberFormat="1" applyFont="1" applyFill="1" applyAlignment="1">
      <alignment vertical="center"/>
    </xf>
    <xf numFmtId="49" fontId="5" fillId="0" borderId="0" xfId="0" applyNumberFormat="1" applyFont="1" applyAlignment="1">
      <alignment horizontal="center" vertical="center"/>
    </xf>
    <xf numFmtId="165"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4" fontId="7"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4" fontId="4" fillId="4" borderId="2" xfId="0" applyNumberFormat="1" applyFont="1" applyFill="1" applyBorder="1" applyAlignment="1">
      <alignment horizontal="center" vertical="center"/>
    </xf>
    <xf numFmtId="4" fontId="8" fillId="4" borderId="2" xfId="0" applyNumberFormat="1" applyFont="1" applyFill="1" applyBorder="1" applyAlignment="1">
      <alignment horizontal="center" vertical="center"/>
    </xf>
    <xf numFmtId="4" fontId="5"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4" fontId="6" fillId="0" borderId="2" xfId="0" applyNumberFormat="1" applyFont="1" applyFill="1" applyBorder="1" applyAlignment="1">
      <alignment horizontal="center" vertical="center" wrapText="1"/>
    </xf>
    <xf numFmtId="10" fontId="7" fillId="4" borderId="2" xfId="4" applyNumberFormat="1" applyFont="1" applyFill="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4"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4" fontId="5" fillId="0" borderId="5" xfId="0" applyNumberFormat="1" applyFont="1" applyBorder="1" applyAlignment="1">
      <alignment horizontal="center" vertical="center" wrapText="1"/>
    </xf>
  </cellXfs>
  <cellStyles count="5">
    <cellStyle name="Обычный" xfId="0" builtinId="0"/>
    <cellStyle name="Обычный 2" xfId="2" xr:uid="{EA8B6EFA-11FC-4034-AE36-578CBA620D96}"/>
    <cellStyle name="Процентный" xfId="4" builtinId="5"/>
    <cellStyle name="Финансовый" xfId="1" builtinId="3"/>
    <cellStyle name="Финансовый 2" xfId="3" xr:uid="{FF5456D3-CD6E-4129-9283-1E1B87B03838}"/>
  </cellStyles>
  <dxfs count="13">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family val="2"/>
        <charset val="204"/>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62.847720601851" createdVersion="7" refreshedVersion="7" minRefreshableVersion="3" recordCount="290" xr:uid="{EFF656D3-DB3B-42E1-8B53-8338DD7F8377}">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3016096.98"/>
    </cacheField>
    <cacheField name="Остаток" numFmtId="0">
      <sharedItems containsSemiMixedTypes="0" containsString="0" containsNumber="1" minValue="-6017852" maxValue="6017852"/>
    </cacheField>
    <cacheField name="КП ПБС квартал 1" numFmtId="0">
      <sharedItems containsSemiMixedTypes="0" containsString="0" containsNumber="1" containsInteger="1" minValue="0" maxValue="16981800"/>
    </cacheField>
    <cacheField name="КП ПБС квартал 2" numFmtId="0">
      <sharedItems containsSemiMixedTypes="0" containsString="0" containsNumber="1" containsInteger="1" minValue="0" maxValue="25472700"/>
    </cacheField>
    <cacheField name="КП ПБС квартал 3" numFmtId="0">
      <sharedItems containsSemiMixedTypes="0" containsString="0" containsNumber="1" containsInteger="1" minValue="0" maxValue="25472700"/>
    </cacheField>
    <cacheField name="КП ПБС квартал 4" numFmtId="0">
      <sharedItems containsSemiMixedTypes="0" containsString="0" containsNumber="1" containsInteger="1" minValue="0" maxValue="26517100"/>
    </cacheField>
    <cacheField name="КП ПБС 2023 год" numFmtId="0">
      <sharedItems containsSemiMixedTypes="0" containsString="0" containsNumber="1" containsInteger="1" minValue="0" maxValue="84909000"/>
    </cacheField>
    <cacheField name="Остаток лимитов" numFmtId="0">
      <sharedItems containsSemiMixedTypes="0" containsString="0" containsNumber="1" containsInteger="1" minValue="-84909000" maxValue="6017852"/>
    </cacheField>
    <cacheField name="sis" numFmtId="0">
      <sharedItems containsNonDate="0" containsString="0" containsBlank="1"/>
    </cacheField>
    <cacheField name="тип средств2" numFmtId="0">
      <sharedItems containsBlank="1"/>
    </cacheField>
    <cacheField name="Уровень бюджета" numFmtId="0">
      <sharedItems containsBlank="1" count="4">
        <m/>
        <s v="Федеральный бюджет"/>
        <s v="Окружной бюджет"/>
        <s v="Местный бюджет"/>
      </sharedItems>
    </cacheField>
    <cacheField name="Пункт подпрограммы" numFmtId="0">
      <sharedItems count="9">
        <s v=""/>
        <s v="1.1.5"/>
        <s v="1.1.3"/>
        <s v="1.1.4"/>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3">
        <s v=""/>
        <s v="Развитие системы массовой физической культуры, подготовки спортивного резерва и спорта высших достижений"/>
        <s v="Организация деятельности в сфере физической культуры и спорта"/>
      </sharedItems>
    </cacheField>
    <cacheField name="Исполнитель" numFmtId="0">
      <sharedItems containsBlank="1" count="2">
        <m/>
        <s v="КФКиС"/>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0">
  <r>
    <n v="1"/>
    <n v="2"/>
    <n v="3"/>
    <n v="4"/>
    <n v="5"/>
    <n v="6"/>
    <n v="7"/>
    <n v="8"/>
    <n v="9"/>
    <n v="10"/>
    <n v="11"/>
    <n v="12"/>
    <n v="13"/>
    <n v="14"/>
    <n v="15"/>
    <n v="16"/>
    <n v="17"/>
    <n v="18"/>
    <n v="19"/>
    <n v="20"/>
    <n v="21"/>
    <n v="22"/>
    <m/>
    <m/>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1"/>
  </r>
  <r>
    <s v="272"/>
    <n v="1103"/>
    <s v="061P550810"/>
    <n v="612"/>
    <n v="100020"/>
    <n v="241"/>
    <n v="310003"/>
    <s v="МБУ &quot;СШОРПОЗВС&quot;"/>
    <s v="23-50810-00000-00000"/>
    <n v="120"/>
    <n v="272042534"/>
    <n v="504900"/>
    <n v="528000"/>
    <n v="0"/>
    <n v="0"/>
    <n v="504900"/>
    <n v="0"/>
    <n v="0"/>
    <n v="504900"/>
    <n v="0"/>
    <n v="504900"/>
    <n v="0"/>
    <m/>
    <s v="Бюджетные средства (Федеральный бюджет) Субсидии"/>
    <x v="1"/>
    <x v="1"/>
    <x v="1"/>
    <x v="1"/>
    <x v="1"/>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1"/>
  </r>
  <r>
    <s v="272"/>
    <n v="1101"/>
    <s v="0610382110"/>
    <n v="611"/>
    <n v="200020"/>
    <n v="241"/>
    <n v="226010"/>
    <s v="МБУ &quot;СШОР &quot;СПАРТАК&quot;"/>
    <s v="20-20-016"/>
    <n v="120"/>
    <n v="272042534"/>
    <n v="-4361925"/>
    <n v="-5234310"/>
    <n v="-5670503"/>
    <n v="0"/>
    <n v="-4361925"/>
    <n v="362900"/>
    <n v="1635425"/>
    <n v="621300"/>
    <n v="1742300"/>
    <n v="4361925"/>
    <n v="-8723850"/>
    <m/>
    <s v="Бюджетные средства (Бюджет субъекта РФ) Субсидии"/>
    <x v="2"/>
    <x v="3"/>
    <x v="1"/>
    <x v="1"/>
    <x v="1"/>
  </r>
  <r>
    <s v="272"/>
    <n v="1101"/>
    <s v="0610382110"/>
    <n v="611"/>
    <n v="200020"/>
    <n v="241"/>
    <n v="226010"/>
    <s v="МБУ &quot;СШОР ПО ЕДИНОБОРСТВАМ&quot;"/>
    <s v="20-20-016"/>
    <n v="120"/>
    <n v="272042534"/>
    <n v="-139080"/>
    <n v="-201541"/>
    <n v="-992264"/>
    <n v="0"/>
    <n v="-139080"/>
    <n v="139080"/>
    <n v="0"/>
    <n v="0"/>
    <n v="0"/>
    <n v="139080"/>
    <n v="-278160"/>
    <m/>
    <s v="Бюджетные средства (Бюджет субъекта РФ) Субсидии"/>
    <x v="2"/>
    <x v="3"/>
    <x v="1"/>
    <x v="1"/>
    <x v="1"/>
  </r>
  <r>
    <s v="272"/>
    <n v="1101"/>
    <s v="0610382110"/>
    <n v="611"/>
    <n v="200020"/>
    <n v="241"/>
    <n v="226010"/>
    <s v="МБУ &quot;СШОРПОЗВС&quot;"/>
    <s v="20-20-016"/>
    <n v="120"/>
    <n v="272042534"/>
    <n v="-3400430"/>
    <n v="-5543203"/>
    <n v="-7557288"/>
    <n v="0"/>
    <n v="-3400430"/>
    <n v="1071600"/>
    <n v="1117200"/>
    <n v="357200"/>
    <n v="854430"/>
    <n v="3400430"/>
    <n v="-6800860"/>
    <m/>
    <s v="Бюджетные средства (Бюджет субъекта РФ) Субсидии"/>
    <x v="2"/>
    <x v="3"/>
    <x v="1"/>
    <x v="1"/>
    <x v="1"/>
  </r>
  <r>
    <s v="272"/>
    <n v="1101"/>
    <s v="0610382110"/>
    <n v="611"/>
    <n v="200020"/>
    <n v="241"/>
    <n v="226011"/>
    <s v="МБУ &quot;СШОР &quot;СПАРТАК&quot;"/>
    <s v="20-20-016"/>
    <n v="120"/>
    <n v="272042534"/>
    <n v="-1166022"/>
    <n v="-3697390"/>
    <n v="-6467300"/>
    <n v="0"/>
    <n v="-1166022"/>
    <n v="0"/>
    <n v="1166022"/>
    <n v="0"/>
    <n v="0"/>
    <n v="1166022"/>
    <n v="-2332044"/>
    <m/>
    <s v="Бюджетные средства (Бюджет субъекта РФ) Субсидии"/>
    <x v="2"/>
    <x v="3"/>
    <x v="1"/>
    <x v="1"/>
    <x v="1"/>
  </r>
  <r>
    <s v="272"/>
    <n v="1101"/>
    <s v="0610382110"/>
    <n v="611"/>
    <n v="200020"/>
    <n v="241"/>
    <n v="226011"/>
    <s v="МБУ &quot;СШОР ПО ЕДИНОБОРСТВАМ&quot;"/>
    <s v="20-20-016"/>
    <n v="120"/>
    <n v="272042534"/>
    <n v="-3198080"/>
    <n v="-4936960"/>
    <n v="-5788160"/>
    <n v="0"/>
    <n v="-3198080"/>
    <n v="0"/>
    <n v="0"/>
    <n v="0"/>
    <n v="3198080"/>
    <n v="3198080"/>
    <n v="-6396160"/>
    <m/>
    <s v="Бюджетные средства (Бюджет субъекта РФ) Субсидии"/>
    <x v="2"/>
    <x v="3"/>
    <x v="1"/>
    <x v="1"/>
    <x v="1"/>
  </r>
  <r>
    <s v="272"/>
    <n v="1101"/>
    <s v="0610382110"/>
    <n v="611"/>
    <n v="200020"/>
    <n v="241"/>
    <n v="310003"/>
    <s v="МБУ &quot;СШОР &quot;СПАРТАК&quot;"/>
    <s v="20-20-016"/>
    <n v="120"/>
    <n v="272042534"/>
    <n v="-479750"/>
    <n v="-479750"/>
    <n v="-479750"/>
    <n v="0"/>
    <n v="-479750"/>
    <n v="0"/>
    <n v="479750"/>
    <n v="0"/>
    <n v="0"/>
    <n v="479750"/>
    <n v="-959500"/>
    <m/>
    <s v="Бюджетные средства (Бюджет субъекта РФ) Субсидии"/>
    <x v="2"/>
    <x v="3"/>
    <x v="1"/>
    <x v="1"/>
    <x v="1"/>
  </r>
  <r>
    <s v="272"/>
    <n v="1101"/>
    <s v="0610382110"/>
    <n v="611"/>
    <n v="200020"/>
    <n v="241"/>
    <n v="310003"/>
    <s v="МБУ &quot;СШОРПОЗВС&quot;"/>
    <s v="20-20-016"/>
    <n v="120"/>
    <n v="272042534"/>
    <n v="-720218"/>
    <n v="-760000"/>
    <n v="-760000"/>
    <n v="0"/>
    <n v="-720218"/>
    <n v="0"/>
    <n v="720218"/>
    <n v="0"/>
    <n v="0"/>
    <n v="720218"/>
    <n v="-1440436"/>
    <m/>
    <s v="Бюджетные средства (Бюджет субъекта РФ) Субсидии"/>
    <x v="2"/>
    <x v="3"/>
    <x v="1"/>
    <x v="1"/>
    <x v="1"/>
  </r>
  <r>
    <s v="272"/>
    <n v="1101"/>
    <s v="0610382110"/>
    <n v="611"/>
    <n v="200020"/>
    <n v="241"/>
    <n v="345001"/>
    <s v="МБУ &quot;СШОР &quot;СПАРТАК&quot;"/>
    <s v="20-20-016"/>
    <n v="120"/>
    <n v="272042534"/>
    <n v="-522500"/>
    <n v="-522500"/>
    <n v="-522500"/>
    <n v="0"/>
    <n v="-522500"/>
    <n v="0"/>
    <n v="522500"/>
    <n v="0"/>
    <n v="0"/>
    <n v="522500"/>
    <n v="-1045000"/>
    <m/>
    <s v="Бюджетные средства (Бюджет субъекта РФ) Субсидии"/>
    <x v="2"/>
    <x v="3"/>
    <x v="1"/>
    <x v="1"/>
    <x v="1"/>
  </r>
  <r>
    <s v="272"/>
    <n v="1101"/>
    <s v="0610382110"/>
    <n v="611"/>
    <n v="200020"/>
    <n v="241"/>
    <n v="345001"/>
    <s v="МБУ ЦФКИС &quot;ЖЕМЧУЖИНА ЮГРЫ&quot;"/>
    <s v="20-20-016"/>
    <n v="120"/>
    <n v="272042534"/>
    <n v="-477200"/>
    <n v="0"/>
    <n v="0"/>
    <n v="0"/>
    <n v="-477200"/>
    <n v="0"/>
    <n v="0"/>
    <n v="477200"/>
    <n v="0"/>
    <n v="477200"/>
    <n v="-954400"/>
    <m/>
    <s v="Бюджетные средства (Бюджет субъекта РФ) Субсидии"/>
    <x v="2"/>
    <x v="3"/>
    <x v="1"/>
    <x v="1"/>
    <x v="1"/>
  </r>
  <r>
    <s v="272"/>
    <n v="1101"/>
    <s v="0610382110"/>
    <n v="611"/>
    <n v="200020"/>
    <n v="241"/>
    <n v="346001"/>
    <s v="МБУ &quot;СШОР &quot;СПАРТАК&quot;"/>
    <s v="20-20-016"/>
    <n v="120"/>
    <n v="272042534"/>
    <n v="-99743"/>
    <n v="-99750"/>
    <n v="-99749"/>
    <n v="0"/>
    <n v="-99743"/>
    <n v="0"/>
    <n v="99743"/>
    <n v="0"/>
    <n v="0"/>
    <n v="99743"/>
    <n v="-199486"/>
    <m/>
    <s v="Бюджетные средства (Бюджет субъекта РФ) Субсидии"/>
    <x v="2"/>
    <x v="3"/>
    <x v="1"/>
    <x v="1"/>
    <x v="1"/>
  </r>
  <r>
    <s v="272"/>
    <n v="1101"/>
    <s v="0610382110"/>
    <n v="621"/>
    <n v="200020"/>
    <n v="241"/>
    <n v="226010"/>
    <s v="МАУ &quot;СШ &quot;СИБИРЯК&quot;"/>
    <s v="20-20-016"/>
    <n v="210"/>
    <n v="272042534"/>
    <n v="-6017852"/>
    <n v="-9123896"/>
    <n v="-12039286"/>
    <n v="0"/>
    <n v="-6017852"/>
    <n v="1100000"/>
    <n v="1800000"/>
    <n v="800000"/>
    <n v="2317852"/>
    <n v="6017852"/>
    <n v="-12035704"/>
    <m/>
    <s v="Бюджетные средства (Бюджет субъекта РФ) Субсидии"/>
    <x v="2"/>
    <x v="3"/>
    <x v="1"/>
    <x v="1"/>
    <x v="1"/>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1"/>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1"/>
  </r>
  <r>
    <s v="272"/>
    <n v="1103"/>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1"/>
  </r>
  <r>
    <s v="272"/>
    <n v="1103"/>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1"/>
  </r>
  <r>
    <s v="272"/>
    <n v="1103"/>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1"/>
  </r>
  <r>
    <s v="272"/>
    <n v="1103"/>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1"/>
  </r>
  <r>
    <s v="272"/>
    <n v="1103"/>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1"/>
  </r>
  <r>
    <s v="272"/>
    <n v="1103"/>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1"/>
  </r>
  <r>
    <s v="272"/>
    <n v="1103"/>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1"/>
  </r>
  <r>
    <s v="272"/>
    <n v="1103"/>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1"/>
  </r>
  <r>
    <s v="272"/>
    <n v="1103"/>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1"/>
  </r>
  <r>
    <s v="272"/>
    <n v="1103"/>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1"/>
  </r>
  <r>
    <s v="272"/>
    <n v="1103"/>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1"/>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1"/>
  </r>
  <r>
    <s v="272"/>
    <n v="1103"/>
    <s v="061P550810"/>
    <n v="612"/>
    <n v="200020"/>
    <n v="241"/>
    <n v="310003"/>
    <s v="МБУ &quot;СШОРПОЗВС&quot;"/>
    <s v="23-50810-00000-00000"/>
    <n v="120"/>
    <n v="272042534"/>
    <n v="617000"/>
    <n v="645300"/>
    <n v="0"/>
    <n v="0"/>
    <n v="617000"/>
    <n v="0"/>
    <n v="0"/>
    <n v="617000"/>
    <n v="0"/>
    <n v="617000"/>
    <n v="0"/>
    <m/>
    <s v="Бюджетные средства (Бюджет субъекта РФ) Субсидии"/>
    <x v="2"/>
    <x v="1"/>
    <x v="1"/>
    <x v="1"/>
    <x v="1"/>
  </r>
  <r>
    <s v="272"/>
    <n v="709"/>
    <s v="0610220010"/>
    <n v="244"/>
    <n v="400010"/>
    <n v="222"/>
    <n v="222001"/>
    <m/>
    <m/>
    <n v="120"/>
    <n v="272042526"/>
    <n v="0"/>
    <n v="0"/>
    <n v="0"/>
    <n v="0"/>
    <n v="0"/>
    <n v="0"/>
    <n v="183700"/>
    <n v="0"/>
    <n v="0"/>
    <n v="183700"/>
    <n v="-183700"/>
    <m/>
    <s v="Бюджетные средства (Бюджет муниципального образования)"/>
    <x v="3"/>
    <x v="4"/>
    <x v="1"/>
    <x v="1"/>
    <x v="1"/>
  </r>
  <r>
    <s v="272"/>
    <n v="709"/>
    <s v="0610220010"/>
    <n v="244"/>
    <n v="400010"/>
    <n v="226"/>
    <n v="226011"/>
    <m/>
    <m/>
    <n v="120"/>
    <n v="272042526"/>
    <n v="0"/>
    <n v="0"/>
    <n v="0"/>
    <n v="0"/>
    <n v="0"/>
    <n v="0"/>
    <n v="0"/>
    <n v="247100"/>
    <n v="0"/>
    <n v="247100"/>
    <n v="-247100"/>
    <m/>
    <s v="Бюджетные средства (Бюджет муниципального образования)"/>
    <x v="3"/>
    <x v="4"/>
    <x v="1"/>
    <x v="1"/>
    <x v="1"/>
  </r>
  <r>
    <s v="272"/>
    <n v="709"/>
    <s v="0610220010"/>
    <n v="244"/>
    <n v="400010"/>
    <n v="346"/>
    <n v="346001"/>
    <m/>
    <m/>
    <n v="120"/>
    <n v="272042526"/>
    <n v="0"/>
    <n v="0"/>
    <n v="0"/>
    <n v="0"/>
    <n v="0"/>
    <n v="0"/>
    <n v="76000"/>
    <n v="0"/>
    <n v="0"/>
    <n v="76000"/>
    <n v="-76000"/>
    <m/>
    <s v="Бюджетные средства (Бюджет муниципального образования)"/>
    <x v="3"/>
    <x v="4"/>
    <x v="1"/>
    <x v="1"/>
    <x v="1"/>
  </r>
  <r>
    <s v="272"/>
    <n v="709"/>
    <s v="0610220010"/>
    <n v="244"/>
    <n v="400010"/>
    <n v="349"/>
    <n v="349001"/>
    <m/>
    <m/>
    <n v="120"/>
    <n v="272042526"/>
    <n v="0"/>
    <n v="0"/>
    <n v="0"/>
    <n v="0"/>
    <n v="0"/>
    <n v="0"/>
    <n v="45980"/>
    <n v="21020"/>
    <n v="0"/>
    <n v="67000"/>
    <n v="-67000"/>
    <m/>
    <s v="Бюджетные средства (Бюджет муниципального образования)"/>
    <x v="3"/>
    <x v="4"/>
    <x v="1"/>
    <x v="1"/>
    <x v="1"/>
  </r>
  <r>
    <s v="272"/>
    <n v="709"/>
    <s v="0610220010"/>
    <n v="244"/>
    <n v="400010"/>
    <n v="349"/>
    <n v="349007"/>
    <m/>
    <m/>
    <n v="120"/>
    <n v="272042526"/>
    <n v="0"/>
    <n v="0"/>
    <n v="0"/>
    <n v="0"/>
    <n v="0"/>
    <n v="0"/>
    <n v="171800"/>
    <n v="0"/>
    <n v="0"/>
    <n v="171800"/>
    <n v="-171800"/>
    <m/>
    <s v="Бюджетные средства (Бюджет муниципального образования)"/>
    <x v="3"/>
    <x v="4"/>
    <x v="1"/>
    <x v="1"/>
    <x v="1"/>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1"/>
  </r>
  <r>
    <s v="272"/>
    <n v="1101"/>
    <s v="0610300590"/>
    <n v="611"/>
    <n v="400010"/>
    <n v="241"/>
    <n v="211001"/>
    <s v="МБУ &quot;СШОР &quot;СПАРТАК&quot;"/>
    <m/>
    <n v="910"/>
    <n v="272042534"/>
    <n v="0"/>
    <n v="0"/>
    <n v="0"/>
    <n v="3016096.98"/>
    <n v="-3016096.98"/>
    <n v="15000000"/>
    <n v="22300000"/>
    <n v="17000000"/>
    <n v="26517100"/>
    <n v="80817100"/>
    <n v="-80817100"/>
    <m/>
    <s v="Бюджетные средства (Бюджет муниципального образования)"/>
    <x v="3"/>
    <x v="3"/>
    <x v="1"/>
    <x v="1"/>
    <x v="1"/>
  </r>
  <r>
    <s v="272"/>
    <n v="1101"/>
    <s v="0610300590"/>
    <n v="611"/>
    <n v="400010"/>
    <n v="241"/>
    <n v="211001"/>
    <s v="МБУ &quot;СШОР ПО ЕДИНОБОРСТВАМ&quot;"/>
    <m/>
    <n v="910"/>
    <n v="272042534"/>
    <n v="0"/>
    <n v="0"/>
    <n v="0"/>
    <n v="701500"/>
    <n v="-701500"/>
    <n v="7485900"/>
    <n v="12000000"/>
    <n v="8000000"/>
    <n v="12000000"/>
    <n v="39485900"/>
    <n v="-39485900"/>
    <m/>
    <s v="Бюджетные средства (Бюджет муниципального образования)"/>
    <x v="3"/>
    <x v="3"/>
    <x v="1"/>
    <x v="1"/>
    <x v="1"/>
  </r>
  <r>
    <s v="272"/>
    <n v="1101"/>
    <s v="0610300590"/>
    <n v="611"/>
    <n v="400010"/>
    <n v="241"/>
    <n v="211001"/>
    <s v="МБУ &quot;СШОРПОЗВС&quot;"/>
    <m/>
    <n v="910"/>
    <n v="272042534"/>
    <n v="0"/>
    <n v="0"/>
    <n v="0"/>
    <n v="1248073.06"/>
    <n v="-1248073.06"/>
    <n v="13000000"/>
    <n v="17000000"/>
    <n v="15000000"/>
    <n v="15637200"/>
    <n v="60637200"/>
    <n v="-60637200"/>
    <m/>
    <s v="Бюджетные средства (Бюджет муниципального образования)"/>
    <x v="3"/>
    <x v="3"/>
    <x v="1"/>
    <x v="1"/>
    <x v="1"/>
  </r>
  <r>
    <s v="272"/>
    <n v="1101"/>
    <s v="0610300590"/>
    <n v="611"/>
    <n v="400010"/>
    <n v="241"/>
    <n v="211001"/>
    <s v="МБУ ЦФКИС &quot;ЖЕМЧУЖИНА ЮГРЫ&quot;"/>
    <m/>
    <n v="910"/>
    <n v="272042534"/>
    <n v="0"/>
    <n v="0"/>
    <n v="0"/>
    <n v="2770021.66"/>
    <n v="-2770021.66"/>
    <n v="16981800"/>
    <n v="25472700"/>
    <n v="25472700"/>
    <n v="16981800"/>
    <n v="84909000"/>
    <n v="-84909000"/>
    <m/>
    <s v="Бюджетные средства (Бюджет муниципального образования)"/>
    <x v="3"/>
    <x v="3"/>
    <x v="1"/>
    <x v="1"/>
    <x v="1"/>
  </r>
  <r>
    <s v="272"/>
    <n v="1101"/>
    <s v="0610300590"/>
    <n v="611"/>
    <n v="400010"/>
    <n v="241"/>
    <n v="211002"/>
    <s v="МБУ &quot;СШОР &quot;СПАРТАК&quot;"/>
    <m/>
    <n v="910"/>
    <n v="272042534"/>
    <n v="0"/>
    <n v="0"/>
    <n v="0"/>
    <n v="0"/>
    <n v="0"/>
    <n v="5000"/>
    <n v="10000"/>
    <n v="5000"/>
    <n v="511700"/>
    <n v="531700"/>
    <n v="-531700"/>
    <m/>
    <s v="Бюджетные средства (Бюджет муниципального образования)"/>
    <x v="3"/>
    <x v="3"/>
    <x v="1"/>
    <x v="1"/>
    <x v="1"/>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1"/>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1"/>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1"/>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1"/>
  </r>
  <r>
    <s v="272"/>
    <n v="1101"/>
    <s v="0610300590"/>
    <n v="611"/>
    <n v="400010"/>
    <n v="241"/>
    <n v="212002"/>
    <s v="МБУ &quot;СШОР &quot;СПАРТАК&quot;"/>
    <m/>
    <n v="910"/>
    <n v="272042535"/>
    <n v="0"/>
    <n v="0"/>
    <n v="0"/>
    <n v="11000"/>
    <n v="-11000"/>
    <n v="170600"/>
    <n v="73500"/>
    <n v="3800"/>
    <n v="53200"/>
    <n v="301100"/>
    <n v="-301100"/>
    <m/>
    <s v="Бюджетные средства (Бюджет муниципального образования)"/>
    <x v="3"/>
    <x v="3"/>
    <x v="1"/>
    <x v="1"/>
    <x v="1"/>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1"/>
  </r>
  <r>
    <s v="272"/>
    <n v="1101"/>
    <s v="0610300590"/>
    <n v="611"/>
    <n v="400010"/>
    <n v="241"/>
    <n v="212002"/>
    <s v="МБУ &quot;СШОРПОЗВС&quot;"/>
    <m/>
    <n v="910"/>
    <n v="272042535"/>
    <n v="0"/>
    <n v="0"/>
    <n v="0"/>
    <n v="62300"/>
    <n v="-62300"/>
    <n v="176500"/>
    <n v="25000"/>
    <n v="65000"/>
    <n v="56100"/>
    <n v="322600"/>
    <n v="-322600"/>
    <m/>
    <s v="Бюджетные средства (Бюджет муниципального образования)"/>
    <x v="3"/>
    <x v="3"/>
    <x v="1"/>
    <x v="1"/>
    <x v="1"/>
  </r>
  <r>
    <s v="272"/>
    <n v="1101"/>
    <s v="0610300590"/>
    <n v="611"/>
    <n v="400010"/>
    <n v="241"/>
    <n v="212002"/>
    <s v="МБУ ЦФКИС &quot;ЖЕМЧУЖИНА ЮГРЫ&quot;"/>
    <m/>
    <n v="910"/>
    <n v="272042535"/>
    <n v="0"/>
    <n v="0"/>
    <n v="0"/>
    <n v="1800"/>
    <n v="-1800"/>
    <n v="90600"/>
    <n v="87000"/>
    <n v="84400"/>
    <n v="6600"/>
    <n v="268600"/>
    <n v="-268600"/>
    <m/>
    <s v="Бюджетные средства (Бюджет муниципального образования)"/>
    <x v="3"/>
    <x v="3"/>
    <x v="1"/>
    <x v="1"/>
    <x v="1"/>
  </r>
  <r>
    <s v="272"/>
    <n v="1101"/>
    <s v="0610300590"/>
    <n v="611"/>
    <n v="400010"/>
    <n v="241"/>
    <n v="213001"/>
    <s v="МБУ &quot;СШОР &quot;СПАРТАК&quot;"/>
    <m/>
    <n v="910"/>
    <n v="272042534"/>
    <n v="0"/>
    <n v="0"/>
    <n v="0"/>
    <n v="0"/>
    <n v="0"/>
    <n v="4530000"/>
    <n v="6734600"/>
    <n v="5134000"/>
    <n v="8008200"/>
    <n v="24406800"/>
    <n v="-24406800"/>
    <m/>
    <s v="Бюджетные средства (Бюджет муниципального образования)"/>
    <x v="3"/>
    <x v="3"/>
    <x v="1"/>
    <x v="1"/>
    <x v="1"/>
  </r>
  <r>
    <s v="272"/>
    <n v="1101"/>
    <s v="0610300590"/>
    <n v="611"/>
    <n v="400010"/>
    <n v="241"/>
    <n v="213001"/>
    <s v="МБУ &quot;СШОР ПО ЕДИНОБОРСТВАМ&quot;"/>
    <m/>
    <n v="910"/>
    <n v="272042534"/>
    <n v="0"/>
    <n v="0"/>
    <n v="0"/>
    <n v="0"/>
    <n v="0"/>
    <n v="2260700"/>
    <n v="3624000"/>
    <n v="2416000"/>
    <n v="3624000"/>
    <n v="11924700"/>
    <n v="-11924700"/>
    <m/>
    <s v="Бюджетные средства (Бюджет муниципального образования)"/>
    <x v="3"/>
    <x v="3"/>
    <x v="1"/>
    <x v="1"/>
    <x v="1"/>
  </r>
  <r>
    <s v="272"/>
    <n v="1101"/>
    <s v="0610300590"/>
    <n v="611"/>
    <n v="400010"/>
    <n v="241"/>
    <n v="213001"/>
    <s v="МБУ &quot;СШОРПОЗВС&quot;"/>
    <m/>
    <n v="910"/>
    <n v="272042534"/>
    <n v="0"/>
    <n v="0"/>
    <n v="0"/>
    <n v="0"/>
    <n v="0"/>
    <n v="4500000"/>
    <n v="5134000"/>
    <n v="4530000"/>
    <n v="4148400"/>
    <n v="18312400"/>
    <n v="-18312400"/>
    <m/>
    <s v="Бюджетные средства (Бюджет муниципального образования)"/>
    <x v="3"/>
    <x v="3"/>
    <x v="1"/>
    <x v="1"/>
    <x v="1"/>
  </r>
  <r>
    <s v="272"/>
    <n v="1101"/>
    <s v="0610300590"/>
    <n v="611"/>
    <n v="400010"/>
    <n v="241"/>
    <n v="213001"/>
    <s v="МБУ ЦФКИС &quot;ЖЕМЧУЖИНА ЮГРЫ&quot;"/>
    <m/>
    <n v="910"/>
    <n v="272042534"/>
    <n v="0"/>
    <n v="0"/>
    <n v="0"/>
    <n v="0"/>
    <n v="0"/>
    <n v="5128500"/>
    <n v="7692750"/>
    <n v="7692750"/>
    <n v="5128500"/>
    <n v="25642500"/>
    <n v="-25642500"/>
    <m/>
    <s v="Бюджетные средства (Бюджет муниципального образования)"/>
    <x v="3"/>
    <x v="3"/>
    <x v="1"/>
    <x v="1"/>
    <x v="1"/>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1"/>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1"/>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1"/>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1"/>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1"/>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1"/>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1"/>
  </r>
  <r>
    <s v="272"/>
    <n v="1101"/>
    <s v="0610300590"/>
    <n v="611"/>
    <n v="400010"/>
    <n v="241"/>
    <n v="214001"/>
    <s v="МБУ ЦФКИС &quot;ЖЕМЧУЖИНА ЮГРЫ&quot;"/>
    <m/>
    <n v="910"/>
    <n v="272042621"/>
    <n v="0"/>
    <n v="0"/>
    <n v="0"/>
    <n v="0"/>
    <n v="0"/>
    <n v="300000"/>
    <n v="1000000"/>
    <n v="1000000"/>
    <n v="289800"/>
    <n v="2589800"/>
    <n v="-2589800"/>
    <m/>
    <s v="Бюджетные средства (Бюджет муниципального образования)"/>
    <x v="3"/>
    <x v="3"/>
    <x v="1"/>
    <x v="1"/>
    <x v="1"/>
  </r>
  <r>
    <s v="272"/>
    <n v="1101"/>
    <s v="0610300590"/>
    <n v="611"/>
    <n v="400010"/>
    <n v="241"/>
    <n v="214003"/>
    <s v="МБУ &quot;СШОР ПО ЕДИНОБОРСТВАМ&quot;"/>
    <m/>
    <n v="910"/>
    <n v="272042534"/>
    <n v="0"/>
    <n v="0"/>
    <n v="0"/>
    <n v="0"/>
    <n v="0"/>
    <n v="60000"/>
    <n v="60000"/>
    <n v="0"/>
    <n v="0"/>
    <n v="120000"/>
    <n v="-120000"/>
    <m/>
    <s v="Бюджетные средства (Бюджет муниципального образования)"/>
    <x v="3"/>
    <x v="3"/>
    <x v="1"/>
    <x v="1"/>
    <x v="1"/>
  </r>
  <r>
    <s v="272"/>
    <n v="1101"/>
    <s v="0610300590"/>
    <n v="611"/>
    <n v="400010"/>
    <n v="241"/>
    <n v="221001"/>
    <s v="МБУ &quot;СШОР &quot;СПАРТАК&quot;"/>
    <m/>
    <n v="110"/>
    <n v="272042534"/>
    <n v="0"/>
    <n v="0"/>
    <n v="0"/>
    <n v="0"/>
    <n v="0"/>
    <n v="55100"/>
    <n v="94300"/>
    <n v="82600"/>
    <n v="48000"/>
    <n v="280000"/>
    <n v="-280000"/>
    <m/>
    <s v="Бюджетные средства (Бюджет муниципального образования)"/>
    <x v="3"/>
    <x v="3"/>
    <x v="1"/>
    <x v="1"/>
    <x v="1"/>
  </r>
  <r>
    <s v="272"/>
    <n v="1101"/>
    <s v="0610300590"/>
    <n v="611"/>
    <n v="400010"/>
    <n v="241"/>
    <n v="221001"/>
    <s v="МБУ &quot;СШОР ПО ЕДИНОБОРСТВАМ&quot;"/>
    <m/>
    <n v="110"/>
    <n v="272042534"/>
    <n v="0"/>
    <n v="0"/>
    <n v="0"/>
    <n v="0"/>
    <n v="0"/>
    <n v="27700"/>
    <n v="37000"/>
    <n v="35000"/>
    <n v="40600"/>
    <n v="140300"/>
    <n v="-140300"/>
    <m/>
    <s v="Бюджетные средства (Бюджет муниципального образования)"/>
    <x v="3"/>
    <x v="3"/>
    <x v="1"/>
    <x v="1"/>
    <x v="1"/>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1"/>
  </r>
  <r>
    <s v="272"/>
    <n v="1101"/>
    <s v="0610300590"/>
    <n v="611"/>
    <n v="400010"/>
    <n v="241"/>
    <n v="221001"/>
    <s v="МБУ ЦФКИС &quot;ЖЕМЧУЖИНА ЮГРЫ&quot;"/>
    <m/>
    <n v="110"/>
    <n v="272042534"/>
    <n v="0"/>
    <n v="0"/>
    <n v="0"/>
    <n v="0"/>
    <n v="0"/>
    <n v="131185"/>
    <n v="175775"/>
    <n v="175775"/>
    <n v="220365"/>
    <n v="703100"/>
    <n v="-703100"/>
    <m/>
    <s v="Бюджетные средства (Бюджет муниципального образования)"/>
    <x v="3"/>
    <x v="3"/>
    <x v="1"/>
    <x v="1"/>
    <x v="1"/>
  </r>
  <r>
    <s v="272"/>
    <n v="1101"/>
    <s v="0610300590"/>
    <n v="611"/>
    <n v="400010"/>
    <n v="241"/>
    <n v="221001"/>
    <s v="МБУ &quot;СШОР &quot;СПАРТАК&quot;"/>
    <m/>
    <n v="120"/>
    <n v="272042534"/>
    <n v="0"/>
    <n v="0"/>
    <n v="0"/>
    <n v="0"/>
    <n v="0"/>
    <n v="0"/>
    <n v="11660"/>
    <n v="0"/>
    <n v="50440"/>
    <n v="62100"/>
    <n v="-62100"/>
    <m/>
    <s v="Бюджетные средства (Бюджет муниципального образования)"/>
    <x v="3"/>
    <x v="3"/>
    <x v="1"/>
    <x v="1"/>
    <x v="1"/>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1"/>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1"/>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1"/>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1"/>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1"/>
  </r>
  <r>
    <s v="272"/>
    <n v="1101"/>
    <s v="0610300590"/>
    <n v="611"/>
    <n v="400010"/>
    <n v="241"/>
    <n v="223001"/>
    <s v="МБУ &quot;СШОР &quot;СПАРТАК&quot;"/>
    <m/>
    <n v="110"/>
    <n v="272042534"/>
    <n v="0"/>
    <n v="0"/>
    <n v="0"/>
    <n v="0"/>
    <n v="0"/>
    <n v="1900000"/>
    <n v="1200000"/>
    <n v="500000"/>
    <n v="900000"/>
    <n v="4500000"/>
    <n v="-4500000"/>
    <m/>
    <s v="Бюджетные средства (Бюджет муниципального образования)"/>
    <x v="3"/>
    <x v="3"/>
    <x v="1"/>
    <x v="1"/>
    <x v="1"/>
  </r>
  <r>
    <s v="272"/>
    <n v="1101"/>
    <s v="0610300590"/>
    <n v="611"/>
    <n v="400010"/>
    <n v="241"/>
    <n v="223001"/>
    <s v="МБУ &quot;СШОР ПО ЕДИНОБОРСТВАМ&quot;"/>
    <m/>
    <n v="110"/>
    <n v="272042534"/>
    <n v="0"/>
    <n v="0"/>
    <n v="0"/>
    <n v="0"/>
    <n v="0"/>
    <n v="400000"/>
    <n v="410000"/>
    <n v="0"/>
    <n v="580800"/>
    <n v="1390800"/>
    <n v="-1390800"/>
    <m/>
    <s v="Бюджетные средства (Бюджет муниципального образования)"/>
    <x v="3"/>
    <x v="3"/>
    <x v="1"/>
    <x v="1"/>
    <x v="1"/>
  </r>
  <r>
    <s v="272"/>
    <n v="1101"/>
    <s v="0610300590"/>
    <n v="611"/>
    <n v="400010"/>
    <n v="241"/>
    <n v="223001"/>
    <s v="МБУ &quot;СШОРПОЗВС&quot;"/>
    <m/>
    <n v="110"/>
    <n v="272042534"/>
    <n v="0"/>
    <n v="0"/>
    <n v="0"/>
    <n v="0"/>
    <n v="0"/>
    <n v="1600000"/>
    <n v="1000000"/>
    <n v="168200"/>
    <n v="1400000"/>
    <n v="4168200"/>
    <n v="-4168200"/>
    <m/>
    <s v="Бюджетные средства (Бюджет муниципального образования)"/>
    <x v="3"/>
    <x v="3"/>
    <x v="1"/>
    <x v="1"/>
    <x v="1"/>
  </r>
  <r>
    <s v="272"/>
    <n v="1101"/>
    <s v="0610300590"/>
    <n v="611"/>
    <n v="400010"/>
    <n v="241"/>
    <n v="223001"/>
    <s v="МБУ ЦФКИС &quot;ЖЕМЧУЖИНА ЮГРЫ&quot;"/>
    <m/>
    <n v="110"/>
    <n v="272042534"/>
    <n v="0"/>
    <n v="0"/>
    <n v="0"/>
    <n v="0"/>
    <n v="0"/>
    <n v="5200000"/>
    <n v="4300000"/>
    <n v="0"/>
    <n v="0"/>
    <n v="9500000"/>
    <n v="-9500000"/>
    <m/>
    <s v="Бюджетные средства (Бюджет муниципального образования)"/>
    <x v="3"/>
    <x v="3"/>
    <x v="1"/>
    <x v="1"/>
    <x v="1"/>
  </r>
  <r>
    <s v="272"/>
    <n v="1101"/>
    <s v="0610300590"/>
    <n v="611"/>
    <n v="400010"/>
    <n v="241"/>
    <n v="223001"/>
    <s v="МБУ &quot;СШОР &quot;СПАРТАК&quot;"/>
    <m/>
    <n v="120"/>
    <n v="272042534"/>
    <n v="0"/>
    <n v="0"/>
    <n v="0"/>
    <n v="0"/>
    <n v="0"/>
    <n v="0"/>
    <n v="0"/>
    <n v="0"/>
    <n v="1485400"/>
    <n v="1485400"/>
    <n v="-1485400"/>
    <m/>
    <s v="Бюджетные средства (Бюджет муниципального образования)"/>
    <x v="3"/>
    <x v="3"/>
    <x v="1"/>
    <x v="1"/>
    <x v="1"/>
  </r>
  <r>
    <s v="272"/>
    <n v="1101"/>
    <s v="0610300590"/>
    <n v="611"/>
    <n v="400010"/>
    <n v="241"/>
    <n v="223001"/>
    <s v="МБУ ЦФКИС &quot;ЖЕМЧУЖИНА ЮГРЫ&quot;"/>
    <m/>
    <n v="120"/>
    <n v="272042534"/>
    <n v="0"/>
    <n v="0"/>
    <n v="0"/>
    <n v="0"/>
    <n v="0"/>
    <n v="0"/>
    <n v="0"/>
    <n v="4500000"/>
    <n v="5289900"/>
    <n v="9789900"/>
    <n v="-9789900"/>
    <m/>
    <s v="Бюджетные средства (Бюджет муниципального образования)"/>
    <x v="3"/>
    <x v="3"/>
    <x v="1"/>
    <x v="1"/>
    <x v="1"/>
  </r>
  <r>
    <s v="272"/>
    <n v="1101"/>
    <s v="0610300590"/>
    <n v="611"/>
    <n v="400010"/>
    <n v="241"/>
    <n v="223002"/>
    <s v="МБУ &quot;СШОР &quot;СПАРТАК&quot;"/>
    <m/>
    <n v="110"/>
    <n v="272042534"/>
    <n v="0"/>
    <n v="0"/>
    <n v="0"/>
    <n v="0"/>
    <n v="0"/>
    <n v="700000"/>
    <n v="600000"/>
    <n v="260000"/>
    <n v="440000"/>
    <n v="2000000"/>
    <n v="-2000000"/>
    <m/>
    <s v="Бюджетные средства (Бюджет муниципального образования)"/>
    <x v="3"/>
    <x v="3"/>
    <x v="1"/>
    <x v="1"/>
    <x v="1"/>
  </r>
  <r>
    <s v="272"/>
    <n v="1101"/>
    <s v="0610300590"/>
    <n v="611"/>
    <n v="400010"/>
    <n v="241"/>
    <n v="223002"/>
    <s v="МБУ &quot;СШОР ПО ЕДИНОБОРСТВАМ&quot;"/>
    <m/>
    <n v="110"/>
    <n v="272042534"/>
    <n v="0"/>
    <n v="0"/>
    <n v="0"/>
    <n v="0"/>
    <n v="0"/>
    <n v="80000"/>
    <n v="80000"/>
    <n v="70000"/>
    <n v="70400"/>
    <n v="300400"/>
    <n v="-300400"/>
    <m/>
    <s v="Бюджетные средства (Бюджет муниципального образования)"/>
    <x v="3"/>
    <x v="3"/>
    <x v="1"/>
    <x v="1"/>
    <x v="1"/>
  </r>
  <r>
    <s v="272"/>
    <n v="1101"/>
    <s v="0610300590"/>
    <n v="611"/>
    <n v="400010"/>
    <n v="241"/>
    <n v="223002"/>
    <s v="МБУ &quot;СШОРПОЗВС&quot;"/>
    <m/>
    <n v="110"/>
    <n v="272042534"/>
    <n v="0"/>
    <n v="0"/>
    <n v="0"/>
    <n v="0"/>
    <n v="0"/>
    <n v="1500000"/>
    <n v="1500000"/>
    <n v="1500000"/>
    <n v="1576400"/>
    <n v="6076400"/>
    <n v="-6076400"/>
    <m/>
    <s v="Бюджетные средства (Бюджет муниципального образования)"/>
    <x v="3"/>
    <x v="3"/>
    <x v="1"/>
    <x v="1"/>
    <x v="1"/>
  </r>
  <r>
    <s v="272"/>
    <n v="1101"/>
    <s v="0610300590"/>
    <n v="611"/>
    <n v="400010"/>
    <n v="241"/>
    <n v="223002"/>
    <s v="МБУ ЦФКИС &quot;ЖЕМЧУЖИНА ЮГРЫ&quot;"/>
    <m/>
    <n v="110"/>
    <n v="272042534"/>
    <n v="0"/>
    <n v="0"/>
    <n v="0"/>
    <n v="0"/>
    <n v="0"/>
    <n v="4400000"/>
    <n v="4400000"/>
    <n v="0"/>
    <n v="0"/>
    <n v="8800000"/>
    <n v="-8800000"/>
    <m/>
    <s v="Бюджетные средства (Бюджет муниципального образования)"/>
    <x v="3"/>
    <x v="3"/>
    <x v="1"/>
    <x v="1"/>
    <x v="1"/>
  </r>
  <r>
    <s v="272"/>
    <n v="1101"/>
    <s v="0610300590"/>
    <n v="611"/>
    <n v="400010"/>
    <n v="241"/>
    <n v="223002"/>
    <s v="МБУ &quot;СШОР &quot;СПАРТАК&quot;"/>
    <m/>
    <n v="120"/>
    <n v="272042534"/>
    <n v="0"/>
    <n v="0"/>
    <n v="0"/>
    <n v="0"/>
    <n v="0"/>
    <n v="0"/>
    <n v="0"/>
    <n v="0"/>
    <n v="200600"/>
    <n v="200600"/>
    <n v="-200600"/>
    <m/>
    <s v="Бюджетные средства (Бюджет муниципального образования)"/>
    <x v="3"/>
    <x v="3"/>
    <x v="1"/>
    <x v="1"/>
    <x v="1"/>
  </r>
  <r>
    <s v="272"/>
    <n v="1101"/>
    <s v="0610300590"/>
    <n v="611"/>
    <n v="400010"/>
    <n v="241"/>
    <n v="223002"/>
    <s v="МБУ ЦФКИС &quot;ЖЕМЧУЖИНА ЮГРЫ&quot;"/>
    <m/>
    <n v="120"/>
    <n v="272042534"/>
    <n v="0"/>
    <n v="0"/>
    <n v="0"/>
    <n v="0"/>
    <n v="0"/>
    <n v="0"/>
    <n v="0"/>
    <n v="4000000"/>
    <n v="5259200"/>
    <n v="9259200"/>
    <n v="-9259200"/>
    <m/>
    <s v="Бюджетные средства (Бюджет муниципального образования)"/>
    <x v="3"/>
    <x v="3"/>
    <x v="1"/>
    <x v="1"/>
    <x v="1"/>
  </r>
  <r>
    <s v="272"/>
    <n v="1101"/>
    <s v="0610300590"/>
    <n v="611"/>
    <n v="400010"/>
    <n v="241"/>
    <n v="223003"/>
    <s v="МБУ &quot;СШОР &quot;СПАРТАК&quot;"/>
    <m/>
    <n v="110"/>
    <n v="272042534"/>
    <n v="0"/>
    <n v="0"/>
    <n v="0"/>
    <n v="0"/>
    <n v="0"/>
    <n v="80000"/>
    <n v="80000"/>
    <n v="65000"/>
    <n v="75000"/>
    <n v="300000"/>
    <n v="-300000"/>
    <m/>
    <s v="Бюджетные средства (Бюджет муниципального образования)"/>
    <x v="3"/>
    <x v="3"/>
    <x v="1"/>
    <x v="1"/>
    <x v="1"/>
  </r>
  <r>
    <s v="272"/>
    <n v="1101"/>
    <s v="0610300590"/>
    <n v="611"/>
    <n v="400010"/>
    <n v="241"/>
    <n v="223003"/>
    <s v="МБУ &quot;СШОР ПО ЕДИНОБОРСТВАМ&quot;"/>
    <m/>
    <n v="110"/>
    <n v="272042534"/>
    <n v="0"/>
    <n v="0"/>
    <n v="0"/>
    <n v="0"/>
    <n v="0"/>
    <n v="14000"/>
    <n v="12000"/>
    <n v="14000"/>
    <n v="13100"/>
    <n v="53100"/>
    <n v="-53100"/>
    <m/>
    <s v="Бюджетные средства (Бюджет муниципального образования)"/>
    <x v="3"/>
    <x v="3"/>
    <x v="1"/>
    <x v="1"/>
    <x v="1"/>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1"/>
  </r>
  <r>
    <s v="272"/>
    <n v="1101"/>
    <s v="0610300590"/>
    <n v="611"/>
    <n v="400010"/>
    <n v="241"/>
    <n v="223003"/>
    <s v="МБУ ЦФКИС &quot;ЖЕМЧУЖИНА ЮГРЫ&quot;"/>
    <m/>
    <n v="110"/>
    <n v="272042534"/>
    <n v="0"/>
    <n v="0"/>
    <n v="0"/>
    <n v="0"/>
    <n v="0"/>
    <n v="450000"/>
    <n v="450000"/>
    <n v="300000"/>
    <n v="0"/>
    <n v="1200000"/>
    <n v="-1200000"/>
    <m/>
    <s v="Бюджетные средства (Бюджет муниципального образования)"/>
    <x v="3"/>
    <x v="3"/>
    <x v="1"/>
    <x v="1"/>
    <x v="1"/>
  </r>
  <r>
    <s v="272"/>
    <n v="1101"/>
    <s v="0610300590"/>
    <n v="611"/>
    <n v="400010"/>
    <n v="241"/>
    <n v="223003"/>
    <s v="МБУ &quot;СШОР &quot;СПАРТАК&quot;"/>
    <m/>
    <n v="120"/>
    <n v="272042534"/>
    <n v="0"/>
    <n v="0"/>
    <n v="0"/>
    <n v="0"/>
    <n v="0"/>
    <n v="0"/>
    <n v="0"/>
    <n v="0"/>
    <n v="24100"/>
    <n v="24100"/>
    <n v="-24100"/>
    <m/>
    <s v="Бюджетные средства (Бюджет муниципального образования)"/>
    <x v="3"/>
    <x v="3"/>
    <x v="1"/>
    <x v="1"/>
    <x v="1"/>
  </r>
  <r>
    <s v="272"/>
    <n v="1101"/>
    <s v="0610300590"/>
    <n v="611"/>
    <n v="400010"/>
    <n v="241"/>
    <n v="223003"/>
    <s v="МБУ ЦФКИС &quot;ЖЕМЧУЖИНА ЮГРЫ&quot;"/>
    <m/>
    <n v="120"/>
    <n v="272042534"/>
    <n v="0"/>
    <n v="0"/>
    <n v="0"/>
    <n v="0"/>
    <n v="0"/>
    <n v="0"/>
    <n v="0"/>
    <n v="850000"/>
    <n v="1117400"/>
    <n v="1967400"/>
    <n v="-1967400"/>
    <m/>
    <s v="Бюджетные средства (Бюджет муниципального образования)"/>
    <x v="3"/>
    <x v="3"/>
    <x v="1"/>
    <x v="1"/>
    <x v="1"/>
  </r>
  <r>
    <s v="272"/>
    <n v="1101"/>
    <s v="0610300590"/>
    <n v="611"/>
    <n v="400010"/>
    <n v="241"/>
    <n v="223006"/>
    <s v="МБУ &quot;СШОР &quot;СПАРТАК&quot;"/>
    <m/>
    <n v="110"/>
    <n v="272042534"/>
    <n v="0"/>
    <n v="0"/>
    <n v="0"/>
    <n v="0"/>
    <n v="0"/>
    <n v="26000"/>
    <n v="33500"/>
    <n v="0"/>
    <n v="0"/>
    <n v="59500"/>
    <n v="-59500"/>
    <m/>
    <s v="Бюджетные средства (Бюджет муниципального образования)"/>
    <x v="3"/>
    <x v="3"/>
    <x v="1"/>
    <x v="1"/>
    <x v="1"/>
  </r>
  <r>
    <s v="272"/>
    <n v="1101"/>
    <s v="0610300590"/>
    <n v="611"/>
    <n v="400010"/>
    <n v="241"/>
    <n v="223006"/>
    <s v="МБУ &quot;СШОР ПО ЕДИНОБОРСТВАМ&quot;"/>
    <m/>
    <n v="110"/>
    <n v="272042534"/>
    <n v="0"/>
    <n v="0"/>
    <n v="0"/>
    <n v="0"/>
    <n v="0"/>
    <n v="13200"/>
    <n v="18000"/>
    <n v="18000"/>
    <n v="22500"/>
    <n v="71700"/>
    <n v="-71700"/>
    <m/>
    <s v="Бюджетные средства (Бюджет муниципального образования)"/>
    <x v="3"/>
    <x v="3"/>
    <x v="1"/>
    <x v="1"/>
    <x v="1"/>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1"/>
  </r>
  <r>
    <s v="272"/>
    <n v="1101"/>
    <s v="0610300590"/>
    <n v="611"/>
    <n v="400010"/>
    <n v="241"/>
    <n v="223006"/>
    <s v="МБУ ЦФКИС &quot;ЖЕМЧУЖИНА ЮГРЫ&quot;"/>
    <m/>
    <n v="110"/>
    <n v="272042534"/>
    <n v="0"/>
    <n v="0"/>
    <n v="0"/>
    <n v="0"/>
    <n v="0"/>
    <n v="115000"/>
    <n v="76700"/>
    <n v="35000"/>
    <n v="0"/>
    <n v="226700"/>
    <n v="-226700"/>
    <m/>
    <s v="Бюджетные средства (Бюджет муниципального образования)"/>
    <x v="3"/>
    <x v="3"/>
    <x v="1"/>
    <x v="1"/>
    <x v="1"/>
  </r>
  <r>
    <s v="272"/>
    <n v="1101"/>
    <s v="0610300590"/>
    <n v="611"/>
    <n v="400010"/>
    <n v="241"/>
    <n v="223006"/>
    <s v="МБУ &quot;СШОР &quot;СПАРТАК&quot;"/>
    <m/>
    <n v="120"/>
    <n v="272042534"/>
    <n v="0"/>
    <n v="0"/>
    <n v="0"/>
    <n v="0"/>
    <n v="0"/>
    <n v="0"/>
    <n v="4500"/>
    <n v="38000"/>
    <n v="49200"/>
    <n v="91700"/>
    <n v="-91700"/>
    <m/>
    <s v="Бюджетные средства (Бюджет муниципального образования)"/>
    <x v="3"/>
    <x v="3"/>
    <x v="1"/>
    <x v="1"/>
    <x v="1"/>
  </r>
  <r>
    <s v="272"/>
    <n v="1101"/>
    <s v="0610300590"/>
    <n v="611"/>
    <n v="400010"/>
    <n v="241"/>
    <n v="223006"/>
    <s v="МБУ ЦФКИС &quot;ЖЕМЧУЖИНА ЮГРЫ&quot;"/>
    <m/>
    <n v="120"/>
    <n v="272042534"/>
    <n v="0"/>
    <n v="0"/>
    <n v="0"/>
    <n v="0"/>
    <n v="0"/>
    <n v="0"/>
    <n v="0"/>
    <n v="150000"/>
    <n v="229700"/>
    <n v="379700"/>
    <n v="-379700"/>
    <m/>
    <s v="Бюджетные средства (Бюджет муниципального образования)"/>
    <x v="3"/>
    <x v="3"/>
    <x v="1"/>
    <x v="1"/>
    <x v="1"/>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1"/>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1"/>
  </r>
  <r>
    <s v="272"/>
    <n v="1101"/>
    <s v="0610300590"/>
    <n v="611"/>
    <n v="400010"/>
    <n v="241"/>
    <n v="225003"/>
    <s v="МБУ &quot;СШОР &quot;СПАРТАК&quot;"/>
    <m/>
    <n v="110"/>
    <n v="272042534"/>
    <n v="0"/>
    <n v="0"/>
    <n v="0"/>
    <n v="0"/>
    <n v="0"/>
    <n v="57546"/>
    <n v="0"/>
    <n v="0"/>
    <n v="0"/>
    <n v="57546"/>
    <n v="-57546"/>
    <m/>
    <s v="Бюджетные средства (Бюджет муниципального образования)"/>
    <x v="3"/>
    <x v="3"/>
    <x v="1"/>
    <x v="1"/>
    <x v="1"/>
  </r>
  <r>
    <s v="272"/>
    <n v="1101"/>
    <s v="0610300590"/>
    <n v="611"/>
    <n v="400010"/>
    <n v="241"/>
    <n v="225003"/>
    <s v="МБУ &quot;СШОР ПО ЕДИНОБОРСТВАМ&quot;"/>
    <m/>
    <n v="110"/>
    <n v="272042534"/>
    <n v="0"/>
    <n v="0"/>
    <n v="0"/>
    <n v="0"/>
    <n v="0"/>
    <n v="12578"/>
    <n v="0"/>
    <n v="0"/>
    <n v="0"/>
    <n v="12578"/>
    <n v="-12578"/>
    <m/>
    <s v="Бюджетные средства (Бюджет муниципального образования)"/>
    <x v="3"/>
    <x v="3"/>
    <x v="1"/>
    <x v="1"/>
    <x v="1"/>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1"/>
  </r>
  <r>
    <s v="272"/>
    <n v="1101"/>
    <s v="0610300590"/>
    <n v="611"/>
    <n v="400010"/>
    <n v="241"/>
    <n v="225003"/>
    <s v="МБУ ЦФКИС &quot;ЖЕМЧУЖИНА ЮГРЫ&quot;"/>
    <m/>
    <n v="110"/>
    <n v="272042534"/>
    <n v="0"/>
    <n v="0"/>
    <n v="0"/>
    <n v="0"/>
    <n v="0"/>
    <n v="3000000"/>
    <n v="1500000"/>
    <n v="1500000"/>
    <n v="1910643"/>
    <n v="7910643"/>
    <n v="-7910643"/>
    <m/>
    <s v="Бюджетные средства (Бюджет муниципального образования)"/>
    <x v="3"/>
    <x v="3"/>
    <x v="1"/>
    <x v="1"/>
    <x v="1"/>
  </r>
  <r>
    <s v="272"/>
    <n v="1101"/>
    <s v="0610300590"/>
    <n v="611"/>
    <n v="400010"/>
    <n v="241"/>
    <n v="225003"/>
    <s v="МБУ &quot;СШОР &quot;СПАРТАК&quot;"/>
    <m/>
    <n v="120"/>
    <n v="272042534"/>
    <n v="0"/>
    <n v="0"/>
    <n v="0"/>
    <n v="0"/>
    <n v="0"/>
    <n v="19054"/>
    <n v="14400"/>
    <n v="14400"/>
    <n v="86100"/>
    <n v="133954"/>
    <n v="-133954"/>
    <m/>
    <s v="Бюджетные средства (Бюджет муниципального образования)"/>
    <x v="3"/>
    <x v="3"/>
    <x v="1"/>
    <x v="1"/>
    <x v="1"/>
  </r>
  <r>
    <s v="272"/>
    <n v="1101"/>
    <s v="0610300590"/>
    <n v="611"/>
    <n v="400010"/>
    <n v="241"/>
    <n v="225003"/>
    <s v="МБУ &quot;СШОР ПО ЕДИНОБОРСТВАМ&quot;"/>
    <m/>
    <n v="120"/>
    <n v="272042534"/>
    <n v="0"/>
    <n v="0"/>
    <n v="0"/>
    <n v="0"/>
    <n v="0"/>
    <n v="13629"/>
    <n v="68635"/>
    <n v="3145"/>
    <n v="29513"/>
    <n v="114922"/>
    <n v="-114922"/>
    <m/>
    <s v="Бюджетные средства (Бюджет муниципального образования)"/>
    <x v="3"/>
    <x v="3"/>
    <x v="1"/>
    <x v="1"/>
    <x v="1"/>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1"/>
  </r>
  <r>
    <s v="272"/>
    <n v="1101"/>
    <s v="0610300590"/>
    <n v="611"/>
    <n v="400010"/>
    <n v="241"/>
    <n v="225003"/>
    <s v="МБУ ЦФКИС &quot;ЖЕМЧУЖИНА ЮГРЫ&quot;"/>
    <m/>
    <n v="120"/>
    <n v="272042534"/>
    <n v="0"/>
    <n v="0"/>
    <n v="0"/>
    <n v="0"/>
    <n v="0"/>
    <n v="165000"/>
    <n v="250000"/>
    <n v="250000"/>
    <n v="303557"/>
    <n v="968557"/>
    <n v="-968557"/>
    <m/>
    <s v="Бюджетные средства (Бюджет муниципального образования)"/>
    <x v="3"/>
    <x v="3"/>
    <x v="1"/>
    <x v="1"/>
    <x v="1"/>
  </r>
  <r>
    <s v="272"/>
    <n v="1101"/>
    <s v="0610300590"/>
    <n v="611"/>
    <n v="400010"/>
    <n v="241"/>
    <n v="225004"/>
    <s v="МБУ &quot;СШОР &quot;СПАРТАК&quot;"/>
    <m/>
    <n v="110"/>
    <n v="272042534"/>
    <n v="0"/>
    <n v="0"/>
    <n v="0"/>
    <n v="0"/>
    <n v="0"/>
    <n v="118000"/>
    <n v="177000"/>
    <n v="177000"/>
    <n v="236000"/>
    <n v="708000"/>
    <n v="-708000"/>
    <m/>
    <s v="Бюджетные средства (Бюджет муниципального образования)"/>
    <x v="3"/>
    <x v="3"/>
    <x v="1"/>
    <x v="1"/>
    <x v="1"/>
  </r>
  <r>
    <s v="272"/>
    <n v="1101"/>
    <s v="0610300590"/>
    <n v="611"/>
    <n v="400010"/>
    <n v="241"/>
    <n v="225004"/>
    <s v="МБУ &quot;СШОР ПО ЕДИНОБОРСТВАМ&quot;"/>
    <m/>
    <n v="110"/>
    <n v="272042534"/>
    <n v="0"/>
    <n v="0"/>
    <n v="0"/>
    <n v="0"/>
    <n v="0"/>
    <n v="57380"/>
    <n v="86070"/>
    <n v="62870"/>
    <n v="114780"/>
    <n v="321100"/>
    <n v="-321100"/>
    <m/>
    <s v="Бюджетные средства (Бюджет муниципального образования)"/>
    <x v="3"/>
    <x v="3"/>
    <x v="1"/>
    <x v="1"/>
    <x v="1"/>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1"/>
  </r>
  <r>
    <s v="272"/>
    <n v="1101"/>
    <s v="0610300590"/>
    <n v="611"/>
    <n v="400010"/>
    <n v="241"/>
    <n v="225004"/>
    <s v="МБУ ЦФКИС &quot;ЖЕМЧУЖИНА ЮГРЫ&quot;"/>
    <m/>
    <n v="110"/>
    <n v="272042534"/>
    <n v="0"/>
    <n v="0"/>
    <n v="0"/>
    <n v="0"/>
    <n v="0"/>
    <n v="2000000"/>
    <n v="3080000"/>
    <n v="3080000"/>
    <n v="2625192"/>
    <n v="10785192"/>
    <n v="-10785192"/>
    <m/>
    <s v="Бюджетные средства (Бюджет муниципального образования)"/>
    <x v="3"/>
    <x v="3"/>
    <x v="1"/>
    <x v="1"/>
    <x v="1"/>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1"/>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1"/>
  </r>
  <r>
    <s v="272"/>
    <n v="1101"/>
    <s v="0610300590"/>
    <n v="611"/>
    <n v="400010"/>
    <n v="241"/>
    <n v="225004"/>
    <s v="МБУ ЦФКИС &quot;ЖЕМЧУЖИНА ЮГРЫ&quot;"/>
    <m/>
    <n v="120"/>
    <n v="272042534"/>
    <n v="0"/>
    <n v="0"/>
    <n v="0"/>
    <n v="0"/>
    <n v="0"/>
    <n v="0"/>
    <n v="0"/>
    <n v="0"/>
    <n v="1237308"/>
    <n v="1237308"/>
    <n v="-1237308"/>
    <m/>
    <s v="Бюджетные средства (Бюджет муниципального образования)"/>
    <x v="3"/>
    <x v="3"/>
    <x v="1"/>
    <x v="1"/>
    <x v="1"/>
  </r>
  <r>
    <s v="272"/>
    <n v="1101"/>
    <s v="0610300590"/>
    <n v="611"/>
    <n v="400010"/>
    <n v="241"/>
    <n v="225005"/>
    <s v="МБУ &quot;СШОР &quot;СПАРТАК&quot;"/>
    <m/>
    <n v="110"/>
    <n v="272042534"/>
    <n v="0"/>
    <n v="0"/>
    <n v="0"/>
    <n v="0"/>
    <n v="0"/>
    <n v="49500"/>
    <n v="0"/>
    <n v="74300"/>
    <n v="119200"/>
    <n v="243000"/>
    <n v="-243000"/>
    <m/>
    <s v="Бюджетные средства (Бюджет муниципального образования)"/>
    <x v="3"/>
    <x v="3"/>
    <x v="1"/>
    <x v="1"/>
    <x v="1"/>
  </r>
  <r>
    <s v="272"/>
    <n v="1101"/>
    <s v="0610300590"/>
    <n v="611"/>
    <n v="400010"/>
    <n v="241"/>
    <n v="225005"/>
    <s v="МБУ &quot;СШОР ПО ЕДИНОБОРСТВАМ&quot;"/>
    <m/>
    <n v="110"/>
    <n v="272042534"/>
    <n v="0"/>
    <n v="0"/>
    <n v="0"/>
    <n v="0"/>
    <n v="0"/>
    <n v="31726"/>
    <n v="47589"/>
    <n v="47589"/>
    <n v="63496"/>
    <n v="190400"/>
    <n v="-190400"/>
    <m/>
    <s v="Бюджетные средства (Бюджет муниципального образования)"/>
    <x v="3"/>
    <x v="3"/>
    <x v="1"/>
    <x v="1"/>
    <x v="1"/>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1"/>
  </r>
  <r>
    <s v="272"/>
    <n v="1101"/>
    <s v="0610300590"/>
    <n v="611"/>
    <n v="400010"/>
    <n v="241"/>
    <n v="225005"/>
    <s v="МБУ ЦФКИС &quot;ЖЕМЧУЖИНА ЮГРЫ&quot;"/>
    <m/>
    <n v="110"/>
    <n v="272042534"/>
    <n v="0"/>
    <n v="0"/>
    <n v="0"/>
    <n v="0"/>
    <n v="0"/>
    <n v="300000"/>
    <n v="450000"/>
    <n v="450000"/>
    <n v="581100"/>
    <n v="1781100"/>
    <n v="-1781100"/>
    <m/>
    <s v="Бюджетные средства (Бюджет муниципального образования)"/>
    <x v="3"/>
    <x v="3"/>
    <x v="1"/>
    <x v="1"/>
    <x v="1"/>
  </r>
  <r>
    <s v="272"/>
    <n v="1101"/>
    <s v="0610300590"/>
    <n v="611"/>
    <n v="400010"/>
    <n v="241"/>
    <n v="225005"/>
    <s v="МБУ &quot;СШОР &quot;СПАРТАК&quot;"/>
    <m/>
    <n v="120"/>
    <n v="272042534"/>
    <n v="0"/>
    <n v="0"/>
    <n v="0"/>
    <n v="0"/>
    <n v="0"/>
    <n v="0"/>
    <n v="160830"/>
    <n v="0"/>
    <n v="108870"/>
    <n v="269700"/>
    <n v="-269700"/>
    <m/>
    <s v="Бюджетные средства (Бюджет муниципального образования)"/>
    <x v="3"/>
    <x v="3"/>
    <x v="1"/>
    <x v="1"/>
    <x v="1"/>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1"/>
  </r>
  <r>
    <s v="272"/>
    <n v="1101"/>
    <s v="0610300590"/>
    <n v="611"/>
    <n v="400010"/>
    <n v="241"/>
    <n v="225005"/>
    <s v="МБУ ЦФКИС &quot;ЖЕМЧУЖИНА ЮГРЫ&quot;"/>
    <m/>
    <n v="120"/>
    <n v="272042534"/>
    <n v="0"/>
    <n v="0"/>
    <n v="0"/>
    <n v="0"/>
    <n v="0"/>
    <n v="109000"/>
    <n v="165000"/>
    <n v="165000"/>
    <n v="213900"/>
    <n v="652900"/>
    <n v="-652900"/>
    <m/>
    <s v="Бюджетные средства (Бюджет муниципального образования)"/>
    <x v="3"/>
    <x v="3"/>
    <x v="1"/>
    <x v="1"/>
    <x v="1"/>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1"/>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1"/>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1"/>
  </r>
  <r>
    <s v="272"/>
    <n v="1101"/>
    <s v="0610300590"/>
    <n v="611"/>
    <n v="400010"/>
    <n v="241"/>
    <n v="226002"/>
    <s v="МБУ ЦФКИС &quot;ЖЕМЧУЖИНА ЮГРЫ&quot;"/>
    <m/>
    <n v="120"/>
    <n v="272042535"/>
    <n v="0"/>
    <n v="0"/>
    <n v="0"/>
    <n v="0"/>
    <n v="0"/>
    <n v="381900"/>
    <n v="368600"/>
    <n v="173300"/>
    <n v="386408"/>
    <n v="1310208"/>
    <n v="-1310208"/>
    <m/>
    <s v="Бюджетные средства (Бюджет муниципального образования)"/>
    <x v="3"/>
    <x v="3"/>
    <x v="1"/>
    <x v="1"/>
    <x v="1"/>
  </r>
  <r>
    <s v="272"/>
    <n v="1101"/>
    <s v="0610300590"/>
    <n v="611"/>
    <n v="400010"/>
    <n v="241"/>
    <n v="226002"/>
    <s v="МБУ &quot;СШОР &quot;СПАРТАК&quot;"/>
    <m/>
    <n v="910"/>
    <n v="272042535"/>
    <n v="0"/>
    <n v="0"/>
    <n v="0"/>
    <n v="130401.5"/>
    <n v="-130401.5"/>
    <n v="3186600"/>
    <n v="1064900"/>
    <n v="149000"/>
    <n v="883500"/>
    <n v="5284000"/>
    <n v="-5284000"/>
    <m/>
    <s v="Бюджетные средства (Бюджет муниципального образования)"/>
    <x v="3"/>
    <x v="3"/>
    <x v="1"/>
    <x v="1"/>
    <x v="1"/>
  </r>
  <r>
    <s v="272"/>
    <n v="1101"/>
    <s v="0610300590"/>
    <n v="611"/>
    <n v="400010"/>
    <n v="241"/>
    <n v="226002"/>
    <s v="МБУ &quot;СШОР ПО ЕДИНОБОРСТВАМ&quot;"/>
    <m/>
    <n v="910"/>
    <n v="272042535"/>
    <n v="0"/>
    <n v="0"/>
    <n v="0"/>
    <n v="215200"/>
    <n v="-215200"/>
    <n v="685900"/>
    <n v="350700"/>
    <n v="425500"/>
    <n v="482757"/>
    <n v="1944857"/>
    <n v="-1944857"/>
    <m/>
    <s v="Бюджетные средства (Бюджет муниципального образования)"/>
    <x v="3"/>
    <x v="3"/>
    <x v="1"/>
    <x v="1"/>
    <x v="1"/>
  </r>
  <r>
    <s v="272"/>
    <n v="1101"/>
    <s v="0610300590"/>
    <n v="611"/>
    <n v="400010"/>
    <n v="241"/>
    <n v="226002"/>
    <s v="МБУ &quot;СШОРПОЗВС&quot;"/>
    <m/>
    <n v="910"/>
    <n v="272042535"/>
    <n v="0"/>
    <n v="0"/>
    <n v="0"/>
    <n v="820357.7"/>
    <n v="-820357.7"/>
    <n v="2008770"/>
    <n v="369700"/>
    <n v="977110"/>
    <n v="720520"/>
    <n v="4076100"/>
    <n v="-4076100"/>
    <m/>
    <s v="Бюджетные средства (Бюджет муниципального образования)"/>
    <x v="3"/>
    <x v="3"/>
    <x v="1"/>
    <x v="1"/>
    <x v="1"/>
  </r>
  <r>
    <s v="272"/>
    <n v="1101"/>
    <s v="0610300590"/>
    <n v="611"/>
    <n v="400010"/>
    <n v="241"/>
    <n v="226002"/>
    <s v="МБУ ЦФКИС &quot;ЖЕМЧУЖИНА ЮГРЫ&quot;"/>
    <m/>
    <n v="910"/>
    <n v="272042535"/>
    <n v="0"/>
    <n v="0"/>
    <n v="0"/>
    <n v="45000"/>
    <n v="-45000"/>
    <n v="181800"/>
    <n v="91200"/>
    <n v="119400"/>
    <n v="144600"/>
    <n v="537000"/>
    <n v="-537000"/>
    <m/>
    <s v="Бюджетные средства (Бюджет муниципального образования)"/>
    <x v="3"/>
    <x v="3"/>
    <x v="1"/>
    <x v="1"/>
    <x v="1"/>
  </r>
  <r>
    <s v="272"/>
    <n v="1101"/>
    <s v="0610300590"/>
    <n v="611"/>
    <n v="400010"/>
    <n v="241"/>
    <n v="226004"/>
    <s v="МБУ &quot;СШОР &quot;СПАРТАК&quot;"/>
    <m/>
    <n v="110"/>
    <n v="272042534"/>
    <n v="0"/>
    <n v="0"/>
    <n v="0"/>
    <n v="0"/>
    <n v="0"/>
    <n v="0"/>
    <n v="517500"/>
    <n v="529100"/>
    <n v="556950"/>
    <n v="1603550"/>
    <n v="-1603550"/>
    <m/>
    <s v="Бюджетные средства (Бюджет муниципального образования)"/>
    <x v="3"/>
    <x v="3"/>
    <x v="1"/>
    <x v="1"/>
    <x v="1"/>
  </r>
  <r>
    <s v="272"/>
    <n v="1101"/>
    <s v="0610300590"/>
    <n v="611"/>
    <n v="400010"/>
    <n v="241"/>
    <n v="226004"/>
    <s v="МБУ &quot;СШОР ПО ЕДИНОБОРСТВАМ&quot;"/>
    <m/>
    <n v="110"/>
    <n v="272042534"/>
    <n v="0"/>
    <n v="0"/>
    <n v="0"/>
    <n v="0"/>
    <n v="0"/>
    <n v="22628"/>
    <n v="35284"/>
    <n v="35284"/>
    <n v="46804"/>
    <n v="140000"/>
    <n v="-140000"/>
    <m/>
    <s v="Бюджетные средства (Бюджет муниципального образования)"/>
    <x v="3"/>
    <x v="3"/>
    <x v="1"/>
    <x v="1"/>
    <x v="1"/>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1"/>
  </r>
  <r>
    <s v="272"/>
    <n v="1101"/>
    <s v="0610300590"/>
    <n v="611"/>
    <n v="400010"/>
    <n v="241"/>
    <n v="226004"/>
    <s v="МБУ ЦФКИС &quot;ЖЕМЧУЖИНА ЮГРЫ&quot;"/>
    <m/>
    <n v="110"/>
    <n v="272042534"/>
    <n v="0"/>
    <n v="0"/>
    <n v="0"/>
    <n v="0"/>
    <n v="0"/>
    <n v="900000"/>
    <n v="1350000"/>
    <n v="1350000"/>
    <n v="1718400"/>
    <n v="5318400"/>
    <n v="-5318400"/>
    <m/>
    <s v="Бюджетные средства (Бюджет муниципального образования)"/>
    <x v="3"/>
    <x v="3"/>
    <x v="1"/>
    <x v="1"/>
    <x v="1"/>
  </r>
  <r>
    <s v="272"/>
    <n v="1101"/>
    <s v="0610300590"/>
    <n v="611"/>
    <n v="400010"/>
    <n v="241"/>
    <n v="226004"/>
    <s v="МБУ &quot;СШОР &quot;СПАРТАК&quot;"/>
    <m/>
    <n v="120"/>
    <n v="272042534"/>
    <n v="0"/>
    <n v="0"/>
    <n v="0"/>
    <n v="0"/>
    <n v="0"/>
    <n v="416550"/>
    <n v="0"/>
    <n v="0"/>
    <n v="0"/>
    <n v="416550"/>
    <n v="-416550"/>
    <m/>
    <s v="Бюджетные средства (Бюджет муниципального образования)"/>
    <x v="3"/>
    <x v="3"/>
    <x v="1"/>
    <x v="1"/>
    <x v="1"/>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1"/>
  </r>
  <r>
    <s v="272"/>
    <n v="1101"/>
    <s v="0610300590"/>
    <n v="611"/>
    <n v="400010"/>
    <n v="241"/>
    <n v="226004"/>
    <s v="МБУ ЦФКИС &quot;ЖЕМЧУЖИНА ЮГРЫ&quot;"/>
    <m/>
    <n v="120"/>
    <n v="272042534"/>
    <n v="0"/>
    <n v="0"/>
    <n v="0"/>
    <n v="0"/>
    <n v="0"/>
    <n v="130000"/>
    <n v="195000"/>
    <n v="195000"/>
    <n v="257000"/>
    <n v="777000"/>
    <n v="-777000"/>
    <m/>
    <s v="Бюджетные средства (Бюджет муниципального образования)"/>
    <x v="3"/>
    <x v="3"/>
    <x v="1"/>
    <x v="1"/>
    <x v="1"/>
  </r>
  <r>
    <s v="272"/>
    <n v="1101"/>
    <s v="0610300590"/>
    <n v="611"/>
    <n v="400010"/>
    <n v="241"/>
    <n v="226005"/>
    <s v="МБУ &quot;СШОР &quot;СПАРТАК&quot;"/>
    <m/>
    <n v="110"/>
    <n v="272042534"/>
    <n v="0"/>
    <n v="0"/>
    <n v="0"/>
    <n v="0"/>
    <n v="0"/>
    <n v="56300"/>
    <n v="32500"/>
    <n v="15000"/>
    <n v="20000"/>
    <n v="123800"/>
    <n v="-123800"/>
    <m/>
    <s v="Бюджетные средства (Бюджет муниципального образования)"/>
    <x v="3"/>
    <x v="3"/>
    <x v="1"/>
    <x v="1"/>
    <x v="1"/>
  </r>
  <r>
    <s v="272"/>
    <n v="1101"/>
    <s v="0610300590"/>
    <n v="611"/>
    <n v="400010"/>
    <n v="241"/>
    <n v="226005"/>
    <s v="МБУ &quot;СШОР ПО ЕДИНОБОРСТВАМ&quot;"/>
    <m/>
    <n v="110"/>
    <n v="272042534"/>
    <n v="0"/>
    <n v="0"/>
    <n v="0"/>
    <n v="0"/>
    <n v="0"/>
    <n v="30000"/>
    <n v="12000"/>
    <n v="30000"/>
    <n v="31800"/>
    <n v="103800"/>
    <n v="-103800"/>
    <m/>
    <s v="Бюджетные средства (Бюджет муниципального образования)"/>
    <x v="3"/>
    <x v="3"/>
    <x v="1"/>
    <x v="1"/>
    <x v="1"/>
  </r>
  <r>
    <s v="272"/>
    <n v="1101"/>
    <s v="0610300590"/>
    <n v="611"/>
    <n v="400010"/>
    <n v="241"/>
    <n v="226005"/>
    <s v="МБУ &quot;СШОРПОЗВС&quot;"/>
    <m/>
    <n v="110"/>
    <n v="272042534"/>
    <n v="0"/>
    <n v="0"/>
    <n v="0"/>
    <n v="0"/>
    <n v="0"/>
    <n v="70000"/>
    <n v="37000"/>
    <n v="37000"/>
    <n v="38100"/>
    <n v="182100"/>
    <n v="-182100"/>
    <m/>
    <s v="Бюджетные средства (Бюджет муниципального образования)"/>
    <x v="3"/>
    <x v="3"/>
    <x v="1"/>
    <x v="1"/>
    <x v="1"/>
  </r>
  <r>
    <s v="272"/>
    <n v="1101"/>
    <s v="0610300590"/>
    <n v="611"/>
    <n v="400010"/>
    <n v="241"/>
    <n v="226005"/>
    <s v="МБУ ЦФКИС &quot;ЖЕМЧУЖИНА ЮГРЫ&quot;"/>
    <m/>
    <n v="110"/>
    <n v="272042534"/>
    <n v="0"/>
    <n v="0"/>
    <n v="0"/>
    <n v="0"/>
    <n v="0"/>
    <n v="71000"/>
    <n v="107000"/>
    <n v="107000"/>
    <n v="140977"/>
    <n v="425977"/>
    <n v="-425977"/>
    <m/>
    <s v="Бюджетные средства (Бюджет муниципального образования)"/>
    <x v="3"/>
    <x v="3"/>
    <x v="1"/>
    <x v="1"/>
    <x v="1"/>
  </r>
  <r>
    <s v="272"/>
    <n v="1101"/>
    <s v="0610300590"/>
    <n v="611"/>
    <n v="400010"/>
    <n v="241"/>
    <n v="226005"/>
    <s v="МБУ &quot;СШОР &quot;СПАРТАК&quot;"/>
    <m/>
    <n v="120"/>
    <n v="272042534"/>
    <n v="0"/>
    <n v="0"/>
    <n v="0"/>
    <n v="0"/>
    <n v="0"/>
    <n v="0"/>
    <n v="19000"/>
    <n v="0"/>
    <n v="0"/>
    <n v="19000"/>
    <n v="-19000"/>
    <m/>
    <s v="Бюджетные средства (Бюджет муниципального образования)"/>
    <x v="3"/>
    <x v="3"/>
    <x v="1"/>
    <x v="1"/>
    <x v="1"/>
  </r>
  <r>
    <s v="272"/>
    <n v="1101"/>
    <s v="0610300590"/>
    <n v="611"/>
    <n v="400010"/>
    <n v="241"/>
    <n v="226005"/>
    <s v="МБУ &quot;СШОР ПО ЕДИНОБОРСТВАМ&quot;"/>
    <m/>
    <n v="120"/>
    <n v="272042534"/>
    <n v="0"/>
    <n v="0"/>
    <n v="0"/>
    <n v="0"/>
    <n v="0"/>
    <n v="29000"/>
    <n v="20000"/>
    <n v="80000"/>
    <n v="1400"/>
    <n v="130400"/>
    <n v="-130400"/>
    <m/>
    <s v="Бюджетные средства (Бюджет муниципального образования)"/>
    <x v="3"/>
    <x v="3"/>
    <x v="1"/>
    <x v="1"/>
    <x v="1"/>
  </r>
  <r>
    <s v="272"/>
    <n v="1101"/>
    <s v="0610300590"/>
    <n v="611"/>
    <n v="400010"/>
    <n v="241"/>
    <n v="226005"/>
    <s v="МБУ ЦФКИС &quot;ЖЕМЧУЖИНА ЮГРЫ&quot;"/>
    <m/>
    <n v="120"/>
    <n v="272042534"/>
    <n v="0"/>
    <n v="0"/>
    <n v="0"/>
    <n v="0"/>
    <n v="0"/>
    <n v="76000"/>
    <n v="115000"/>
    <n v="115000"/>
    <n v="144123"/>
    <n v="450123"/>
    <n v="-450123"/>
    <m/>
    <s v="Бюджетные средства (Бюджет муниципального образования)"/>
    <x v="3"/>
    <x v="3"/>
    <x v="1"/>
    <x v="1"/>
    <x v="1"/>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1"/>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1"/>
  </r>
  <r>
    <s v="272"/>
    <n v="1101"/>
    <s v="0610300590"/>
    <n v="611"/>
    <n v="400010"/>
    <n v="241"/>
    <n v="226010"/>
    <s v="МБУ &quot;СШОР &quot;СПАРТАК&quot;"/>
    <m/>
    <n v="110"/>
    <n v="272042534"/>
    <n v="0"/>
    <n v="0"/>
    <n v="0"/>
    <n v="0"/>
    <n v="0"/>
    <n v="502500"/>
    <n v="0"/>
    <n v="0"/>
    <n v="0"/>
    <n v="502500"/>
    <n v="-502500"/>
    <m/>
    <s v="Бюджетные средства (Бюджет муниципального образования)"/>
    <x v="3"/>
    <x v="3"/>
    <x v="1"/>
    <x v="1"/>
    <x v="1"/>
  </r>
  <r>
    <s v="272"/>
    <n v="1101"/>
    <s v="0610300590"/>
    <n v="611"/>
    <n v="400010"/>
    <n v="241"/>
    <n v="226010"/>
    <s v="МБУ &quot;СШОР ПО ЕДИНОБОРСТВАМ&quot;"/>
    <m/>
    <n v="110"/>
    <n v="272042534"/>
    <n v="0"/>
    <n v="0"/>
    <n v="0"/>
    <n v="0"/>
    <n v="0"/>
    <n v="472000"/>
    <n v="0"/>
    <n v="0"/>
    <n v="0"/>
    <n v="472000"/>
    <n v="-472000"/>
    <m/>
    <s v="Бюджетные средства (Бюджет муниципального образования)"/>
    <x v="3"/>
    <x v="3"/>
    <x v="1"/>
    <x v="1"/>
    <x v="1"/>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1"/>
  </r>
  <r>
    <s v="272"/>
    <n v="1101"/>
    <s v="0610300590"/>
    <n v="611"/>
    <n v="400010"/>
    <n v="241"/>
    <n v="226010"/>
    <s v="МБУ ЦФКИС &quot;ЖЕМЧУЖИНА ЮГРЫ&quot;"/>
    <m/>
    <n v="110"/>
    <n v="272042534"/>
    <n v="0"/>
    <n v="0"/>
    <n v="0"/>
    <n v="0"/>
    <n v="0"/>
    <n v="620000"/>
    <n v="33000"/>
    <n v="33000"/>
    <n v="28707"/>
    <n v="714707"/>
    <n v="-714707"/>
    <m/>
    <s v="Бюджетные средства (Бюджет муниципального образования)"/>
    <x v="3"/>
    <x v="3"/>
    <x v="1"/>
    <x v="1"/>
    <x v="1"/>
  </r>
  <r>
    <s v="272"/>
    <n v="1101"/>
    <s v="0610300590"/>
    <n v="611"/>
    <n v="400010"/>
    <n v="241"/>
    <n v="226010"/>
    <s v="МБУ &quot;СШОР &quot;СПАРТАК&quot;"/>
    <m/>
    <n v="120"/>
    <n v="272042534"/>
    <n v="0"/>
    <n v="0"/>
    <n v="0"/>
    <n v="0"/>
    <n v="0"/>
    <n v="200000"/>
    <n v="206400"/>
    <n v="0"/>
    <n v="774500"/>
    <n v="1180900"/>
    <n v="-1180900"/>
    <m/>
    <s v="Бюджетные средства (Бюджет муниципального образования)"/>
    <x v="3"/>
    <x v="3"/>
    <x v="1"/>
    <x v="1"/>
    <x v="1"/>
  </r>
  <r>
    <s v="272"/>
    <n v="1101"/>
    <s v="0610300590"/>
    <n v="611"/>
    <n v="400010"/>
    <n v="241"/>
    <n v="226010"/>
    <s v="МБУ &quot;СШОР ПО ЕДИНОБОРСТВАМ&quot;"/>
    <m/>
    <n v="120"/>
    <n v="272042534"/>
    <n v="0"/>
    <n v="0"/>
    <n v="0"/>
    <n v="0"/>
    <n v="0"/>
    <n v="588700"/>
    <n v="1566000"/>
    <n v="0"/>
    <n v="14100"/>
    <n v="2168800"/>
    <n v="-2168800"/>
    <m/>
    <s v="Бюджетные средства (Бюджет муниципального образования)"/>
    <x v="3"/>
    <x v="3"/>
    <x v="1"/>
    <x v="1"/>
    <x v="1"/>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1"/>
  </r>
  <r>
    <s v="272"/>
    <n v="1101"/>
    <s v="0610300590"/>
    <n v="611"/>
    <n v="400010"/>
    <n v="241"/>
    <n v="226010"/>
    <s v="МБУ ЦФКИС &quot;ЖЕМЧУЖИНА ЮГРЫ&quot;"/>
    <m/>
    <n v="120"/>
    <n v="272042534"/>
    <n v="0"/>
    <n v="0"/>
    <n v="0"/>
    <n v="0"/>
    <n v="0"/>
    <n v="1000000"/>
    <n v="1600000"/>
    <n v="1300000"/>
    <n v="1656993"/>
    <n v="5556993"/>
    <n v="-5556993"/>
    <m/>
    <s v="Бюджетные средства (Бюджет муниципального образования)"/>
    <x v="3"/>
    <x v="3"/>
    <x v="1"/>
    <x v="1"/>
    <x v="1"/>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1"/>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1"/>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1"/>
  </r>
  <r>
    <s v="272"/>
    <n v="1101"/>
    <s v="0610300590"/>
    <n v="611"/>
    <n v="400010"/>
    <n v="241"/>
    <n v="226011"/>
    <s v="МБУ ЦФКИС &quot;ЖЕМЧУЖИНА ЮГРЫ&quot;"/>
    <m/>
    <n v="120"/>
    <n v="272042534"/>
    <n v="0"/>
    <n v="0"/>
    <n v="0"/>
    <n v="0"/>
    <n v="0"/>
    <n v="0"/>
    <n v="0"/>
    <n v="0"/>
    <n v="532000"/>
    <n v="532000"/>
    <n v="-532000"/>
    <m/>
    <s v="Бюджетные средства (Бюджет муниципального образования)"/>
    <x v="3"/>
    <x v="3"/>
    <x v="1"/>
    <x v="1"/>
    <x v="1"/>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1"/>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1"/>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1"/>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1"/>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1"/>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1"/>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1"/>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1"/>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1"/>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1"/>
  </r>
  <r>
    <s v="272"/>
    <n v="1101"/>
    <s v="0610300590"/>
    <n v="611"/>
    <n v="400010"/>
    <n v="241"/>
    <n v="267001"/>
    <s v="МБУ &quot;СШОРПОЗВС&quot;"/>
    <m/>
    <n v="910"/>
    <n v="272042534"/>
    <n v="0"/>
    <n v="0"/>
    <n v="0"/>
    <n v="0"/>
    <n v="0"/>
    <n v="20000"/>
    <n v="60000"/>
    <n v="20000"/>
    <n v="0"/>
    <n v="100000"/>
    <n v="-100000"/>
    <m/>
    <s v="Бюджетные средства (Бюджет муниципального образования)"/>
    <x v="3"/>
    <x v="3"/>
    <x v="1"/>
    <x v="1"/>
    <x v="1"/>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1"/>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1"/>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1"/>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1"/>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1"/>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1"/>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1"/>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1"/>
  </r>
  <r>
    <s v="272"/>
    <n v="1101"/>
    <s v="0610300590"/>
    <n v="611"/>
    <n v="400010"/>
    <n v="241"/>
    <n v="291001"/>
    <s v="МБУ ЦФКИС &quot;ЖЕМЧУЖИНА ЮГРЫ&quot;"/>
    <m/>
    <n v="910"/>
    <n v="272042534"/>
    <n v="0"/>
    <n v="0"/>
    <n v="0"/>
    <n v="0"/>
    <n v="0"/>
    <n v="8371500"/>
    <n v="8371500"/>
    <n v="8371500"/>
    <n v="8371500"/>
    <n v="33486000"/>
    <n v="-33486000"/>
    <m/>
    <s v="Бюджетные средства (Бюджет муниципального образования)"/>
    <x v="3"/>
    <x v="3"/>
    <x v="1"/>
    <x v="1"/>
    <x v="1"/>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1"/>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1"/>
  </r>
  <r>
    <s v="272"/>
    <n v="1101"/>
    <s v="0610300590"/>
    <n v="611"/>
    <n v="400010"/>
    <n v="241"/>
    <n v="343001"/>
    <s v="МБУ ЦФКИС &quot;ЖЕМЧУЖИНА ЮГРЫ&quot;"/>
    <m/>
    <n v="110"/>
    <n v="272042534"/>
    <n v="0"/>
    <n v="0"/>
    <n v="0"/>
    <n v="0"/>
    <n v="0"/>
    <n v="200000"/>
    <n v="197300"/>
    <n v="0"/>
    <n v="0"/>
    <n v="397300"/>
    <n v="-397300"/>
    <m/>
    <s v="Бюджетные средства (Бюджет муниципального образования)"/>
    <x v="3"/>
    <x v="3"/>
    <x v="1"/>
    <x v="1"/>
    <x v="1"/>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1"/>
  </r>
  <r>
    <s v="272"/>
    <n v="1101"/>
    <s v="0610300590"/>
    <n v="611"/>
    <n v="400010"/>
    <n v="241"/>
    <n v="343001"/>
    <s v="МБУ ЦФКИС &quot;ЖЕМЧУЖИНА ЮГРЫ&quot;"/>
    <m/>
    <n v="120"/>
    <n v="272042534"/>
    <n v="0"/>
    <n v="0"/>
    <n v="0"/>
    <n v="0"/>
    <n v="0"/>
    <n v="160000"/>
    <n v="250000"/>
    <n v="250000"/>
    <n v="269800"/>
    <n v="929800"/>
    <n v="-929800"/>
    <m/>
    <s v="Бюджетные средства (Бюджет муниципального образования)"/>
    <x v="3"/>
    <x v="3"/>
    <x v="1"/>
    <x v="1"/>
    <x v="1"/>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1"/>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1"/>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1"/>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1"/>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1"/>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1"/>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1"/>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1"/>
  </r>
  <r>
    <s v="272"/>
    <n v="1101"/>
    <s v="0610300590"/>
    <n v="611"/>
    <n v="400010"/>
    <n v="241"/>
    <n v="349001"/>
    <s v="МБУ &quot;СШОР &quot;СПАРТАК&quot;"/>
    <m/>
    <n v="110"/>
    <n v="272042534"/>
    <n v="0"/>
    <n v="0"/>
    <n v="0"/>
    <n v="0"/>
    <n v="0"/>
    <n v="60000"/>
    <n v="60000"/>
    <n v="60000"/>
    <n v="63000"/>
    <n v="243000"/>
    <n v="-243000"/>
    <m/>
    <s v="Бюджетные средства (Бюджет муниципального образования)"/>
    <x v="3"/>
    <x v="3"/>
    <x v="1"/>
    <x v="1"/>
    <x v="1"/>
  </r>
  <r>
    <s v="272"/>
    <n v="1101"/>
    <s v="0610300590"/>
    <n v="611"/>
    <n v="400010"/>
    <n v="241"/>
    <n v="349001"/>
    <s v="МБУ &quot;СШОР ПО ЕДИНОБОРСТВАМ&quot;"/>
    <m/>
    <n v="110"/>
    <n v="272042534"/>
    <n v="0"/>
    <n v="0"/>
    <n v="0"/>
    <n v="0"/>
    <n v="0"/>
    <n v="24900"/>
    <n v="23000"/>
    <n v="10000"/>
    <n v="14800"/>
    <n v="72700"/>
    <n v="-72700"/>
    <m/>
    <s v="Бюджетные средства (Бюджет муниципального образования)"/>
    <x v="3"/>
    <x v="3"/>
    <x v="1"/>
    <x v="1"/>
    <x v="1"/>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1"/>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1"/>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1"/>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1"/>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1"/>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1"/>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1"/>
  </r>
  <r>
    <s v="272"/>
    <n v="1101"/>
    <s v="0610300590"/>
    <n v="621"/>
    <n v="400010"/>
    <n v="241"/>
    <n v="211001"/>
    <s v="МАУ &quot;СШ &quot;СИБИРЯК&quot;"/>
    <m/>
    <n v="910"/>
    <n v="272042534"/>
    <n v="0"/>
    <n v="0"/>
    <n v="0"/>
    <n v="1754238.7"/>
    <n v="-1754238.7"/>
    <n v="12650000"/>
    <n v="20853200"/>
    <n v="10970000"/>
    <n v="18326500"/>
    <n v="62799700"/>
    <n v="-62799700"/>
    <m/>
    <s v="Бюджетные средства (Бюджет муниципального образования)"/>
    <x v="3"/>
    <x v="3"/>
    <x v="1"/>
    <x v="1"/>
    <x v="1"/>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1"/>
  </r>
  <r>
    <s v="272"/>
    <n v="1101"/>
    <s v="0610300590"/>
    <n v="621"/>
    <n v="400010"/>
    <n v="241"/>
    <n v="212002"/>
    <s v="МАУ &quot;СШ &quot;СИБИРЯК&quot;"/>
    <m/>
    <n v="910"/>
    <n v="272042535"/>
    <n v="0"/>
    <n v="0"/>
    <n v="0"/>
    <n v="0"/>
    <n v="0"/>
    <n v="69800"/>
    <n v="33800"/>
    <n v="10800"/>
    <n v="31800"/>
    <n v="146200"/>
    <n v="-146200"/>
    <m/>
    <s v="Бюджетные средства (Бюджет муниципального образования)"/>
    <x v="3"/>
    <x v="3"/>
    <x v="1"/>
    <x v="1"/>
    <x v="1"/>
  </r>
  <r>
    <s v="272"/>
    <n v="1101"/>
    <s v="0610300590"/>
    <n v="621"/>
    <n v="400010"/>
    <n v="241"/>
    <n v="213001"/>
    <s v="МАУ &quot;СШ &quot;СИБИРЯК&quot;"/>
    <m/>
    <n v="910"/>
    <n v="272042534"/>
    <n v="0"/>
    <n v="0"/>
    <n v="0"/>
    <n v="0"/>
    <n v="0"/>
    <n v="3820300"/>
    <n v="6297700"/>
    <n v="3312940"/>
    <n v="5534560"/>
    <n v="18965500"/>
    <n v="-18965500"/>
    <m/>
    <s v="Бюджетные средства (Бюджет муниципального образования)"/>
    <x v="3"/>
    <x v="3"/>
    <x v="1"/>
    <x v="1"/>
    <x v="1"/>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1"/>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1"/>
  </r>
  <r>
    <s v="272"/>
    <n v="1101"/>
    <s v="0610300590"/>
    <n v="621"/>
    <n v="400010"/>
    <n v="241"/>
    <n v="221001"/>
    <s v="МАУ &quot;СШ &quot;СИБИРЯК&quot;"/>
    <m/>
    <n v="210"/>
    <n v="272042534"/>
    <n v="0"/>
    <n v="0"/>
    <n v="0"/>
    <n v="0"/>
    <n v="0"/>
    <n v="42000"/>
    <n v="29000"/>
    <n v="29000"/>
    <n v="31200"/>
    <n v="131200"/>
    <n v="-131200"/>
    <m/>
    <s v="Бюджетные средства (Бюджет муниципального образования)"/>
    <x v="3"/>
    <x v="3"/>
    <x v="1"/>
    <x v="1"/>
    <x v="1"/>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1"/>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1"/>
  </r>
  <r>
    <s v="272"/>
    <n v="1101"/>
    <s v="0610300590"/>
    <n v="621"/>
    <n v="400010"/>
    <n v="241"/>
    <n v="223002"/>
    <s v="МАУ &quot;СШ &quot;СИБИРЯК&quot;"/>
    <m/>
    <n v="210"/>
    <n v="272042534"/>
    <n v="0"/>
    <n v="0"/>
    <n v="0"/>
    <n v="0"/>
    <n v="0"/>
    <n v="906700"/>
    <n v="800000"/>
    <n v="658200"/>
    <n v="120000"/>
    <n v="2484900"/>
    <n v="-2484900"/>
    <m/>
    <s v="Бюджетные средства (Бюджет муниципального образования)"/>
    <x v="3"/>
    <x v="3"/>
    <x v="1"/>
    <x v="1"/>
    <x v="1"/>
  </r>
  <r>
    <s v="272"/>
    <n v="1101"/>
    <s v="0610300590"/>
    <n v="621"/>
    <n v="400010"/>
    <n v="241"/>
    <n v="223003"/>
    <s v="МАУ &quot;СШ &quot;СИБИРЯК&quot;"/>
    <m/>
    <n v="210"/>
    <n v="272042534"/>
    <n v="0"/>
    <n v="0"/>
    <n v="0"/>
    <n v="0"/>
    <n v="0"/>
    <n v="553500"/>
    <n v="255700"/>
    <n v="0"/>
    <n v="0"/>
    <n v="809200"/>
    <n v="-809200"/>
    <m/>
    <s v="Бюджетные средства (Бюджет муниципального образования)"/>
    <x v="3"/>
    <x v="3"/>
    <x v="1"/>
    <x v="1"/>
    <x v="1"/>
  </r>
  <r>
    <s v="272"/>
    <n v="1101"/>
    <s v="0610300590"/>
    <n v="621"/>
    <n v="400010"/>
    <n v="241"/>
    <n v="223006"/>
    <s v="МАУ &quot;СШ &quot;СИБИРЯК&quot;"/>
    <m/>
    <n v="210"/>
    <n v="272042534"/>
    <n v="0"/>
    <n v="0"/>
    <n v="0"/>
    <n v="0"/>
    <n v="0"/>
    <n v="10000"/>
    <n v="15000"/>
    <n v="15000"/>
    <n v="26900"/>
    <n v="66900"/>
    <n v="-66900"/>
    <m/>
    <s v="Бюджетные средства (Бюджет муниципального образования)"/>
    <x v="3"/>
    <x v="3"/>
    <x v="1"/>
    <x v="1"/>
    <x v="1"/>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1"/>
  </r>
  <r>
    <s v="272"/>
    <n v="1101"/>
    <s v="0610300590"/>
    <n v="621"/>
    <n v="400010"/>
    <n v="241"/>
    <n v="225004"/>
    <s v="МАУ &quot;СШ &quot;СИБИРЯК&quot;"/>
    <m/>
    <n v="210"/>
    <n v="272042534"/>
    <n v="0"/>
    <n v="0"/>
    <n v="0"/>
    <n v="0"/>
    <n v="0"/>
    <n v="12800"/>
    <n v="16800"/>
    <n v="83000"/>
    <n v="10900"/>
    <n v="123500"/>
    <n v="-123500"/>
    <m/>
    <s v="Бюджетные средства (Бюджет муниципального образования)"/>
    <x v="3"/>
    <x v="3"/>
    <x v="1"/>
    <x v="1"/>
    <x v="1"/>
  </r>
  <r>
    <s v="272"/>
    <n v="1101"/>
    <s v="0610300590"/>
    <n v="621"/>
    <n v="400010"/>
    <n v="241"/>
    <n v="225005"/>
    <s v="МАУ &quot;СШ &quot;СИБИРЯК&quot;"/>
    <m/>
    <n v="210"/>
    <n v="272042534"/>
    <n v="0"/>
    <n v="0"/>
    <n v="0"/>
    <n v="0"/>
    <n v="0"/>
    <n v="72000"/>
    <n v="108000"/>
    <n v="108000"/>
    <n v="144000"/>
    <n v="432000"/>
    <n v="-432000"/>
    <m/>
    <s v="Бюджетные средства (Бюджет муниципального образования)"/>
    <x v="3"/>
    <x v="3"/>
    <x v="1"/>
    <x v="1"/>
    <x v="1"/>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1"/>
  </r>
  <r>
    <s v="272"/>
    <n v="1101"/>
    <s v="0610300590"/>
    <n v="621"/>
    <n v="400010"/>
    <n v="241"/>
    <n v="226002"/>
    <s v="МАУ &quot;СШ &quot;СИБИРЯК&quot;"/>
    <m/>
    <n v="910"/>
    <n v="272042535"/>
    <n v="0"/>
    <n v="0"/>
    <n v="0"/>
    <n v="80046.8"/>
    <n v="-80046.8"/>
    <n v="1347900"/>
    <n v="731550"/>
    <n v="212000"/>
    <n v="547800"/>
    <n v="2839250"/>
    <n v="-2839250"/>
    <m/>
    <s v="Бюджетные средства (Бюджет муниципального образования)"/>
    <x v="3"/>
    <x v="3"/>
    <x v="1"/>
    <x v="1"/>
    <x v="1"/>
  </r>
  <r>
    <s v="272"/>
    <n v="1101"/>
    <s v="0610300590"/>
    <n v="621"/>
    <n v="400010"/>
    <n v="241"/>
    <n v="226004"/>
    <s v="МАУ &quot;СШ &quot;СИБИРЯК&quot;"/>
    <m/>
    <n v="210"/>
    <n v="272042534"/>
    <n v="0"/>
    <n v="0"/>
    <n v="0"/>
    <n v="0"/>
    <n v="0"/>
    <n v="200000"/>
    <n v="300000"/>
    <n v="110000"/>
    <n v="488300"/>
    <n v="1098300"/>
    <n v="-1098300"/>
    <m/>
    <s v="Бюджетные средства (Бюджет муниципального образования)"/>
    <x v="3"/>
    <x v="3"/>
    <x v="1"/>
    <x v="1"/>
    <x v="1"/>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1"/>
  </r>
  <r>
    <s v="272"/>
    <n v="1101"/>
    <s v="0610300590"/>
    <n v="621"/>
    <n v="400010"/>
    <n v="241"/>
    <n v="226010"/>
    <s v="МАУ &quot;СШ &quot;СИБИРЯК&quot;"/>
    <m/>
    <n v="210"/>
    <n v="272042534"/>
    <n v="0"/>
    <n v="0"/>
    <n v="0"/>
    <n v="0"/>
    <n v="0"/>
    <n v="355000"/>
    <n v="200000"/>
    <n v="200000"/>
    <n v="210900"/>
    <n v="965900"/>
    <n v="-965900"/>
    <m/>
    <s v="Бюджетные средства (Бюджет муниципального образования)"/>
    <x v="3"/>
    <x v="3"/>
    <x v="1"/>
    <x v="1"/>
    <x v="1"/>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1"/>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1"/>
  </r>
  <r>
    <s v="272"/>
    <n v="1101"/>
    <s v="0610300590"/>
    <n v="621"/>
    <n v="400010"/>
    <n v="241"/>
    <n v="267001"/>
    <s v="МАУ &quot;СШ &quot;СИБИРЯК&quot;"/>
    <m/>
    <n v="910"/>
    <n v="272042534"/>
    <n v="0"/>
    <n v="0"/>
    <n v="0"/>
    <n v="0"/>
    <n v="0"/>
    <n v="0"/>
    <n v="20000"/>
    <n v="40000"/>
    <n v="40000"/>
    <n v="100000"/>
    <n v="-100000"/>
    <m/>
    <s v="Бюджетные средства (Бюджет муниципального образования)"/>
    <x v="3"/>
    <x v="3"/>
    <x v="1"/>
    <x v="1"/>
    <x v="1"/>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1"/>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1"/>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1"/>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1"/>
  </r>
  <r>
    <s v="272"/>
    <n v="1101"/>
    <s v="0610300590"/>
    <n v="621"/>
    <n v="400010"/>
    <n v="241"/>
    <n v="346001"/>
    <s v="МАУ &quot;СШ &quot;СИБИРЯК&quot;"/>
    <m/>
    <n v="210"/>
    <n v="272042534"/>
    <n v="0"/>
    <n v="0"/>
    <n v="0"/>
    <n v="0"/>
    <n v="0"/>
    <n v="400000"/>
    <n v="400000"/>
    <n v="450000"/>
    <n v="582700"/>
    <n v="1832700"/>
    <n v="-1832700"/>
    <m/>
    <s v="Бюджетные средства (Бюджет муниципального образования)"/>
    <x v="3"/>
    <x v="3"/>
    <x v="1"/>
    <x v="1"/>
    <x v="1"/>
  </r>
  <r>
    <s v="272"/>
    <n v="1101"/>
    <s v="0610300590"/>
    <n v="621"/>
    <n v="400010"/>
    <n v="241"/>
    <n v="349001"/>
    <s v="МАУ &quot;СШ &quot;СИБИРЯК&quot;"/>
    <m/>
    <n v="210"/>
    <n v="272042534"/>
    <n v="0"/>
    <n v="0"/>
    <n v="0"/>
    <n v="0"/>
    <n v="0"/>
    <n v="12250"/>
    <n v="12250"/>
    <n v="12250"/>
    <n v="12250"/>
    <n v="49000"/>
    <n v="-49000"/>
    <m/>
    <s v="Бюджетные средства (Бюджет муниципального образования)"/>
    <x v="3"/>
    <x v="3"/>
    <x v="1"/>
    <x v="1"/>
    <x v="1"/>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1"/>
  </r>
  <r>
    <s v="272"/>
    <n v="1101"/>
    <s v="06103S2110"/>
    <n v="611"/>
    <n v="400010"/>
    <n v="241"/>
    <n v="226010"/>
    <s v="МБУ &quot;СШОР &quot;СПАРТАК&quot;"/>
    <m/>
    <n v="120"/>
    <n v="272042534"/>
    <n v="-229574"/>
    <n v="-275490"/>
    <n v="-298448"/>
    <n v="0"/>
    <n v="-229574"/>
    <n v="19100"/>
    <n v="86074"/>
    <n v="32700"/>
    <n v="91700"/>
    <n v="229574"/>
    <n v="-459148"/>
    <m/>
    <s v="Бюджетные средства (Бюджет муниципального образования)"/>
    <x v="3"/>
    <x v="3"/>
    <x v="1"/>
    <x v="1"/>
    <x v="1"/>
  </r>
  <r>
    <s v="272"/>
    <n v="1101"/>
    <s v="06103S2110"/>
    <n v="611"/>
    <n v="400010"/>
    <n v="241"/>
    <n v="226010"/>
    <s v="МБУ &quot;СШОР ПО ЕДИНОБОРСТВАМ&quot;"/>
    <m/>
    <n v="120"/>
    <n v="272042534"/>
    <n v="-7320"/>
    <n v="-10607"/>
    <n v="-52224"/>
    <n v="0"/>
    <n v="-7320"/>
    <n v="7320"/>
    <n v="0"/>
    <n v="0"/>
    <n v="0"/>
    <n v="7320"/>
    <n v="-14640"/>
    <m/>
    <s v="Бюджетные средства (Бюджет муниципального образования)"/>
    <x v="3"/>
    <x v="3"/>
    <x v="1"/>
    <x v="1"/>
    <x v="1"/>
  </r>
  <r>
    <s v="272"/>
    <n v="1101"/>
    <s v="06103S2110"/>
    <n v="611"/>
    <n v="400010"/>
    <n v="241"/>
    <n v="226010"/>
    <s v="МБУ &quot;СШОРПОЗВС&quot;"/>
    <m/>
    <n v="120"/>
    <n v="272042534"/>
    <n v="-178970"/>
    <n v="-291748"/>
    <n v="-397752"/>
    <n v="0"/>
    <n v="-178970"/>
    <n v="56400"/>
    <n v="58800"/>
    <n v="18800"/>
    <n v="44970"/>
    <n v="178970"/>
    <n v="-357940"/>
    <m/>
    <s v="Бюджетные средства (Бюджет муниципального образования)"/>
    <x v="3"/>
    <x v="3"/>
    <x v="1"/>
    <x v="1"/>
    <x v="1"/>
  </r>
  <r>
    <s v="272"/>
    <n v="1101"/>
    <s v="06103S2110"/>
    <n v="611"/>
    <n v="400010"/>
    <n v="241"/>
    <n v="226011"/>
    <s v="МБУ &quot;СШОР &quot;СПАРТАК&quot;"/>
    <m/>
    <n v="120"/>
    <n v="272042534"/>
    <n v="-61370"/>
    <n v="-194599"/>
    <n v="-340384"/>
    <n v="0"/>
    <n v="-61370"/>
    <n v="0"/>
    <n v="61370"/>
    <n v="0"/>
    <n v="0"/>
    <n v="61370"/>
    <n v="-122740"/>
    <m/>
    <s v="Бюджетные средства (Бюджет муниципального образования)"/>
    <x v="3"/>
    <x v="3"/>
    <x v="1"/>
    <x v="1"/>
    <x v="1"/>
  </r>
  <r>
    <s v="272"/>
    <n v="1101"/>
    <s v="06103S2110"/>
    <n v="611"/>
    <n v="400010"/>
    <n v="241"/>
    <n v="226011"/>
    <s v="МБУ &quot;СШОР ПО ЕДИНОБОРСТВАМ&quot;"/>
    <m/>
    <n v="120"/>
    <n v="272042534"/>
    <n v="-168320"/>
    <n v="-259840"/>
    <n v="-304640"/>
    <n v="0"/>
    <n v="-168320"/>
    <n v="0"/>
    <n v="0"/>
    <n v="0"/>
    <n v="168320"/>
    <n v="168320"/>
    <n v="-336640"/>
    <m/>
    <s v="Бюджетные средства (Бюджет муниципального образования)"/>
    <x v="3"/>
    <x v="3"/>
    <x v="1"/>
    <x v="1"/>
    <x v="1"/>
  </r>
  <r>
    <s v="272"/>
    <n v="1101"/>
    <s v="06103S2110"/>
    <n v="611"/>
    <n v="400010"/>
    <n v="241"/>
    <n v="310003"/>
    <s v="МБУ &quot;СШОР &quot;СПАРТАК&quot;"/>
    <m/>
    <n v="120"/>
    <n v="272042534"/>
    <n v="-25250"/>
    <n v="-25250"/>
    <n v="-25250"/>
    <n v="0"/>
    <n v="-25250"/>
    <n v="0"/>
    <n v="25250"/>
    <n v="0"/>
    <n v="0"/>
    <n v="25250"/>
    <n v="-50500"/>
    <m/>
    <s v="Бюджетные средства (Бюджет муниципального образования)"/>
    <x v="3"/>
    <x v="3"/>
    <x v="1"/>
    <x v="1"/>
    <x v="1"/>
  </r>
  <r>
    <s v="272"/>
    <n v="1101"/>
    <s v="06103S2110"/>
    <n v="611"/>
    <n v="400010"/>
    <n v="241"/>
    <n v="310003"/>
    <s v="МБУ &quot;СШОРПОЗВС&quot;"/>
    <m/>
    <n v="120"/>
    <n v="272042534"/>
    <n v="-37906"/>
    <n v="-40000"/>
    <n v="-40000"/>
    <n v="0"/>
    <n v="-37906"/>
    <n v="0"/>
    <n v="37906"/>
    <n v="0"/>
    <n v="0"/>
    <n v="37906"/>
    <n v="-75812"/>
    <m/>
    <s v="Бюджетные средства (Бюджет муниципального образования)"/>
    <x v="3"/>
    <x v="3"/>
    <x v="1"/>
    <x v="1"/>
    <x v="1"/>
  </r>
  <r>
    <s v="272"/>
    <n v="1101"/>
    <s v="06103S2110"/>
    <n v="611"/>
    <n v="400010"/>
    <n v="241"/>
    <n v="345001"/>
    <s v="МБУ &quot;СШОР &quot;СПАРТАК&quot;"/>
    <m/>
    <n v="120"/>
    <n v="272042534"/>
    <n v="-27500"/>
    <n v="-27500"/>
    <n v="-27500"/>
    <n v="0"/>
    <n v="-27500"/>
    <n v="0"/>
    <n v="27500"/>
    <n v="0"/>
    <n v="0"/>
    <n v="27500"/>
    <n v="-55000"/>
    <m/>
    <s v="Бюджетные средства (Бюджет муниципального образования)"/>
    <x v="3"/>
    <x v="3"/>
    <x v="1"/>
    <x v="1"/>
    <x v="1"/>
  </r>
  <r>
    <s v="272"/>
    <n v="1101"/>
    <s v="06103S2110"/>
    <n v="611"/>
    <n v="400010"/>
    <n v="241"/>
    <n v="345001"/>
    <s v="МБУ ЦФКИС &quot;ЖЕМЧУЖИНА ЮГРЫ&quot;"/>
    <m/>
    <n v="120"/>
    <n v="272042534"/>
    <n v="-25116"/>
    <n v="0"/>
    <n v="0"/>
    <n v="0"/>
    <n v="-25116"/>
    <n v="0"/>
    <n v="0"/>
    <n v="25116"/>
    <n v="0"/>
    <n v="25116"/>
    <n v="-50232"/>
    <m/>
    <s v="Бюджетные средства (Бюджет муниципального образования)"/>
    <x v="3"/>
    <x v="3"/>
    <x v="1"/>
    <x v="1"/>
    <x v="1"/>
  </r>
  <r>
    <s v="272"/>
    <n v="1101"/>
    <s v="06103S2110"/>
    <n v="611"/>
    <n v="400010"/>
    <n v="241"/>
    <n v="346001"/>
    <s v="МБУ &quot;СШОР &quot;СПАРТАК&quot;"/>
    <m/>
    <n v="120"/>
    <n v="272042534"/>
    <n v="-5250"/>
    <n v="-5250"/>
    <n v="-5250"/>
    <n v="0"/>
    <n v="-5250"/>
    <n v="0"/>
    <n v="5250"/>
    <n v="0"/>
    <n v="0"/>
    <n v="5250"/>
    <n v="-10500"/>
    <m/>
    <s v="Бюджетные средства (Бюджет муниципального образования)"/>
    <x v="3"/>
    <x v="3"/>
    <x v="1"/>
    <x v="1"/>
    <x v="1"/>
  </r>
  <r>
    <s v="272"/>
    <n v="1101"/>
    <s v="06103S2110"/>
    <n v="621"/>
    <n v="400010"/>
    <n v="241"/>
    <n v="226010"/>
    <s v="МАУ &quot;СШ &quot;СИБИРЯК&quot;"/>
    <m/>
    <n v="210"/>
    <n v="272042534"/>
    <n v="-316729"/>
    <n v="-480205"/>
    <n v="-633647"/>
    <n v="0"/>
    <n v="-316729"/>
    <n v="55000"/>
    <n v="100000"/>
    <n v="42200"/>
    <n v="119529"/>
    <n v="316729"/>
    <n v="-633458"/>
    <m/>
    <s v="Бюджетные средства (Бюджет муниципального образования)"/>
    <x v="3"/>
    <x v="3"/>
    <x v="1"/>
    <x v="1"/>
    <x v="1"/>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1"/>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1"/>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1"/>
  </r>
  <r>
    <s v="272"/>
    <n v="1101"/>
    <s v="1420199990"/>
    <n v="611"/>
    <n v="400010"/>
    <n v="241"/>
    <n v="225010"/>
    <s v="МБУ &quot;СШОР ПО ЕДИНОБОРСТВАМ&quot;"/>
    <m/>
    <n v="110"/>
    <n v="272042520"/>
    <n v="0"/>
    <n v="0"/>
    <n v="0"/>
    <n v="0"/>
    <n v="0"/>
    <n v="13374"/>
    <n v="13374"/>
    <n v="7656"/>
    <n v="0"/>
    <n v="34404"/>
    <n v="-34404"/>
    <m/>
    <s v="Бюджетные средства (Бюджет муниципального образования)"/>
    <x v="3"/>
    <x v="0"/>
    <x v="0"/>
    <x v="0"/>
    <x v="1"/>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1"/>
  </r>
  <r>
    <s v="272"/>
    <n v="1101"/>
    <s v="1420199990"/>
    <n v="611"/>
    <n v="400010"/>
    <n v="241"/>
    <n v="225010"/>
    <s v="МБУ ЦФКИС &quot;ЖЕМЧУЖИНА ЮГРЫ&quot;"/>
    <m/>
    <n v="110"/>
    <n v="272042520"/>
    <n v="0"/>
    <n v="0"/>
    <n v="0"/>
    <n v="0"/>
    <n v="0"/>
    <n v="32000"/>
    <n v="48000"/>
    <n v="16000"/>
    <n v="0"/>
    <n v="96000"/>
    <n v="-96000"/>
    <m/>
    <s v="Бюджетные средства (Бюджет муниципального образования)"/>
    <x v="3"/>
    <x v="0"/>
    <x v="0"/>
    <x v="0"/>
    <x v="1"/>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1"/>
  </r>
  <r>
    <s v="272"/>
    <n v="1101"/>
    <s v="1420199990"/>
    <n v="611"/>
    <n v="400010"/>
    <n v="241"/>
    <n v="225010"/>
    <s v="МБУ &quot;СШОР ПО ЕДИНОБОРСТВАМ&quot;"/>
    <m/>
    <n v="120"/>
    <n v="272042520"/>
    <n v="0"/>
    <n v="0"/>
    <n v="0"/>
    <n v="0"/>
    <n v="0"/>
    <n v="15000"/>
    <n v="15000"/>
    <n v="55122"/>
    <n v="28374"/>
    <n v="113496"/>
    <n v="-113496"/>
    <m/>
    <s v="Бюджетные средства (Бюджет муниципального образования)"/>
    <x v="3"/>
    <x v="0"/>
    <x v="0"/>
    <x v="0"/>
    <x v="1"/>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1"/>
  </r>
  <r>
    <s v="272"/>
    <n v="1101"/>
    <s v="1420199990"/>
    <n v="611"/>
    <n v="400010"/>
    <n v="241"/>
    <n v="225010"/>
    <s v="МБУ ЦФКИС &quot;ЖЕМЧУЖИНА ЮГРЫ&quot;"/>
    <m/>
    <n v="120"/>
    <n v="272042520"/>
    <n v="0"/>
    <n v="0"/>
    <n v="0"/>
    <n v="0"/>
    <n v="0"/>
    <n v="5600"/>
    <n v="5600"/>
    <n v="37600"/>
    <n v="45897"/>
    <n v="94697"/>
    <n v="-94697"/>
    <m/>
    <s v="Бюджетные средства (Бюджет муниципального образования)"/>
    <x v="3"/>
    <x v="0"/>
    <x v="0"/>
    <x v="0"/>
    <x v="1"/>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1"/>
  </r>
  <r>
    <s v="272"/>
    <n v="1101"/>
    <s v="1420199990"/>
    <n v="621"/>
    <n v="400010"/>
    <n v="241"/>
    <n v="225010"/>
    <s v="МАУ &quot;СШ &quot;СИБИРЯК&quot;"/>
    <m/>
    <n v="210"/>
    <n v="272042520"/>
    <n v="0"/>
    <n v="0"/>
    <n v="0"/>
    <n v="0"/>
    <n v="0"/>
    <n v="20000"/>
    <n v="90000"/>
    <n v="80000"/>
    <n v="63103"/>
    <n v="253103"/>
    <n v="-253103"/>
    <m/>
    <s v="Бюджетные средства (Бюджет муниципального образования)"/>
    <x v="3"/>
    <x v="0"/>
    <x v="0"/>
    <x v="0"/>
    <x v="1"/>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1"/>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1"/>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5"/>
    <x v="1"/>
    <x v="1"/>
    <x v="1"/>
  </r>
  <r>
    <s v="272"/>
    <n v="1102"/>
    <s v="0610199990"/>
    <n v="611"/>
    <n v="400010"/>
    <n v="241"/>
    <n v="226002"/>
    <s v="МБУ ЦФКИС &quot;ЖЕМЧУЖИНА ЮГРЫ&quot;"/>
    <m/>
    <n v="910"/>
    <n v="272042535"/>
    <n v="0"/>
    <n v="0"/>
    <n v="0"/>
    <n v="0"/>
    <n v="0"/>
    <n v="1315132"/>
    <n v="2052738"/>
    <n v="803281"/>
    <n v="956400"/>
    <n v="5127551"/>
    <n v="-5127551"/>
    <m/>
    <s v="Бюджетные средства (Бюджет муниципального образования)"/>
    <x v="3"/>
    <x v="5"/>
    <x v="1"/>
    <x v="1"/>
    <x v="1"/>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5"/>
    <x v="1"/>
    <x v="1"/>
    <x v="1"/>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5"/>
    <x v="1"/>
    <x v="1"/>
    <x v="1"/>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1"/>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1"/>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1"/>
  </r>
  <r>
    <s v="272"/>
    <n v="1103"/>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1"/>
  </r>
  <r>
    <s v="272"/>
    <n v="1103"/>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1"/>
  </r>
  <r>
    <s v="272"/>
    <n v="1103"/>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1"/>
  </r>
  <r>
    <s v="272"/>
    <n v="1103"/>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1"/>
  </r>
  <r>
    <s v="272"/>
    <n v="1103"/>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1"/>
  </r>
  <r>
    <s v="272"/>
    <n v="1103"/>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1"/>
  </r>
  <r>
    <s v="272"/>
    <n v="1103"/>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1"/>
  </r>
  <r>
    <s v="272"/>
    <n v="1103"/>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1"/>
  </r>
  <r>
    <s v="272"/>
    <n v="1103"/>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1"/>
  </r>
  <r>
    <s v="272"/>
    <n v="1103"/>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1"/>
  </r>
  <r>
    <s v="272"/>
    <n v="1103"/>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1"/>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1"/>
  </r>
  <r>
    <s v="272"/>
    <n v="1105"/>
    <s v="0630102040"/>
    <n v="121"/>
    <n v="400010"/>
    <n v="211"/>
    <n v="211001"/>
    <m/>
    <m/>
    <n v="910"/>
    <n v="272042602"/>
    <n v="0"/>
    <n v="0"/>
    <n v="0"/>
    <n v="656490.04"/>
    <n v="-656490.04"/>
    <n v="3290000"/>
    <n v="3200000"/>
    <n v="3498000"/>
    <n v="5870500"/>
    <n v="15858500"/>
    <n v="-15858500"/>
    <m/>
    <s v="Бюджетные средства (Бюджет муниципального образования)"/>
    <x v="3"/>
    <x v="6"/>
    <x v="1"/>
    <x v="2"/>
    <x v="1"/>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6"/>
    <x v="1"/>
    <x v="2"/>
    <x v="1"/>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6"/>
    <x v="1"/>
    <x v="2"/>
    <x v="1"/>
  </r>
  <r>
    <s v="272"/>
    <n v="1105"/>
    <s v="0630102040"/>
    <n v="122"/>
    <n v="400010"/>
    <n v="226"/>
    <n v="226008"/>
    <m/>
    <m/>
    <n v="910"/>
    <n v="272042601"/>
    <n v="0"/>
    <n v="0"/>
    <n v="0"/>
    <n v="0"/>
    <n v="0"/>
    <n v="5000"/>
    <n v="13000"/>
    <n v="0"/>
    <n v="0"/>
    <n v="18000"/>
    <n v="-18000"/>
    <m/>
    <s v="Бюджетные средства (Бюджет муниципального образования)"/>
    <x v="3"/>
    <x v="6"/>
    <x v="1"/>
    <x v="2"/>
    <x v="1"/>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6"/>
    <x v="1"/>
    <x v="2"/>
    <x v="1"/>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6"/>
    <x v="1"/>
    <x v="2"/>
    <x v="1"/>
  </r>
  <r>
    <s v="272"/>
    <n v="1105"/>
    <s v="0630102040"/>
    <n v="129"/>
    <n v="400010"/>
    <n v="213"/>
    <n v="213001"/>
    <m/>
    <m/>
    <n v="910"/>
    <n v="272042601"/>
    <n v="0"/>
    <n v="0"/>
    <n v="0"/>
    <n v="0"/>
    <n v="0"/>
    <n v="900000"/>
    <n v="1000000"/>
    <n v="1060000"/>
    <n v="1829200"/>
    <n v="4789200"/>
    <n v="-4789200"/>
    <m/>
    <s v="Бюджетные средства (Бюджет муниципального образования)"/>
    <x v="3"/>
    <x v="6"/>
    <x v="1"/>
    <x v="2"/>
    <x v="1"/>
  </r>
  <r>
    <s v="272"/>
    <n v="1105"/>
    <s v="0630102040"/>
    <n v="129"/>
    <n v="400010"/>
    <n v="213"/>
    <n v="213002"/>
    <m/>
    <m/>
    <n v="910"/>
    <n v="272042621"/>
    <n v="0"/>
    <n v="0"/>
    <n v="0"/>
    <n v="0"/>
    <n v="0"/>
    <n v="0"/>
    <n v="30000"/>
    <n v="34000"/>
    <n v="0"/>
    <n v="64000"/>
    <n v="-64000"/>
    <m/>
    <s v="Бюджетные средства (Бюджет муниципального образования)"/>
    <x v="3"/>
    <x v="6"/>
    <x v="1"/>
    <x v="2"/>
    <x v="1"/>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6"/>
    <x v="1"/>
    <x v="2"/>
    <x v="1"/>
  </r>
  <r>
    <s v="272"/>
    <n v="1105"/>
    <s v="0630102040"/>
    <n v="244"/>
    <n v="400010"/>
    <n v="221"/>
    <n v="221001"/>
    <m/>
    <m/>
    <n v="110"/>
    <n v="272042601"/>
    <n v="0"/>
    <n v="0"/>
    <n v="0"/>
    <n v="1163.92"/>
    <n v="-1163.92"/>
    <n v="30000"/>
    <n v="39000"/>
    <n v="42000"/>
    <n v="85100"/>
    <n v="196100"/>
    <n v="-196100"/>
    <m/>
    <s v="Бюджетные средства (Бюджет муниципального образования)"/>
    <x v="3"/>
    <x v="6"/>
    <x v="1"/>
    <x v="2"/>
    <x v="1"/>
  </r>
  <r>
    <s v="272"/>
    <n v="1105"/>
    <s v="0630102040"/>
    <n v="244"/>
    <n v="400010"/>
    <n v="225"/>
    <n v="225005"/>
    <m/>
    <m/>
    <n v="110"/>
    <n v="272042601"/>
    <n v="0"/>
    <n v="0"/>
    <n v="0"/>
    <n v="0"/>
    <n v="0"/>
    <n v="21750"/>
    <n v="21750"/>
    <n v="21750"/>
    <n v="21750"/>
    <n v="87000"/>
    <n v="-87000"/>
    <m/>
    <s v="Бюджетные средства (Бюджет муниципального образования)"/>
    <x v="3"/>
    <x v="6"/>
    <x v="1"/>
    <x v="2"/>
    <x v="1"/>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6"/>
    <x v="1"/>
    <x v="2"/>
    <x v="1"/>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6"/>
    <x v="1"/>
    <x v="2"/>
    <x v="1"/>
  </r>
  <r>
    <s v="272"/>
    <n v="1105"/>
    <s v="0630102040"/>
    <n v="244"/>
    <n v="400010"/>
    <n v="226"/>
    <n v="226010"/>
    <m/>
    <m/>
    <n v="120"/>
    <n v="272042601"/>
    <n v="0"/>
    <n v="0"/>
    <n v="0"/>
    <n v="0"/>
    <n v="0"/>
    <n v="3000"/>
    <n v="25500"/>
    <n v="25000"/>
    <n v="0"/>
    <n v="53500"/>
    <n v="-53500"/>
    <m/>
    <s v="Бюджетные средства (Бюджет муниципального образования)"/>
    <x v="3"/>
    <x v="6"/>
    <x v="1"/>
    <x v="2"/>
    <x v="1"/>
  </r>
  <r>
    <s v="272"/>
    <n v="1105"/>
    <s v="0630102040"/>
    <n v="244"/>
    <n v="400010"/>
    <n v="226"/>
    <n v="226011"/>
    <m/>
    <m/>
    <n v="120"/>
    <n v="272042601"/>
    <n v="0"/>
    <n v="0"/>
    <n v="0"/>
    <n v="0"/>
    <n v="0"/>
    <n v="0"/>
    <n v="0"/>
    <n v="0"/>
    <n v="81200"/>
    <n v="81200"/>
    <n v="-81200"/>
    <m/>
    <s v="Бюджетные средства (Бюджет муниципального образования)"/>
    <x v="3"/>
    <x v="6"/>
    <x v="1"/>
    <x v="2"/>
    <x v="1"/>
  </r>
  <r>
    <s v="272"/>
    <n v="1105"/>
    <s v="0630102040"/>
    <n v="244"/>
    <n v="400010"/>
    <n v="226"/>
    <n v="226012"/>
    <m/>
    <m/>
    <n v="120"/>
    <n v="272042601"/>
    <n v="0"/>
    <n v="0"/>
    <n v="0"/>
    <n v="0"/>
    <n v="0"/>
    <n v="0"/>
    <n v="0"/>
    <n v="31400"/>
    <n v="0"/>
    <n v="31400"/>
    <n v="-31400"/>
    <m/>
    <s v="Бюджетные средства (Бюджет муниципального образования)"/>
    <x v="3"/>
    <x v="6"/>
    <x v="1"/>
    <x v="2"/>
    <x v="1"/>
  </r>
  <r>
    <s v="272"/>
    <n v="1105"/>
    <s v="0630102040"/>
    <n v="244"/>
    <n v="400010"/>
    <n v="346"/>
    <n v="346001"/>
    <m/>
    <m/>
    <n v="110"/>
    <n v="272042601"/>
    <n v="0"/>
    <n v="0"/>
    <n v="0"/>
    <n v="0"/>
    <n v="0"/>
    <n v="0"/>
    <n v="68700"/>
    <n v="0"/>
    <n v="0"/>
    <n v="68700"/>
    <n v="-68700"/>
    <m/>
    <s v="Бюджетные средства (Бюджет муниципального образования)"/>
    <x v="3"/>
    <x v="6"/>
    <x v="1"/>
    <x v="2"/>
    <x v="1"/>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6EFDEA-316F-4002-B688-B7A2B7994623}"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2"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4">
        <item x="3"/>
        <item x="2"/>
        <item x="1"/>
        <item x="0"/>
      </items>
      <extLst>
        <ext xmlns:x14="http://schemas.microsoft.com/office/spreadsheetml/2009/9/main" uri="{2946ED86-A175-432a-8AC1-64E0C546D7DE}">
          <x14:pivotField fillDownLabels="1"/>
        </ext>
      </extLst>
    </pivotField>
    <pivotField axis="axisRow" compact="0" outline="0" showAll="0" defaultSubtotal="0">
      <items count="9">
        <item x="0"/>
        <item m="1" x="7"/>
        <item x="4"/>
        <item x="2"/>
        <item x="3"/>
        <item x="1"/>
        <item x="6"/>
        <item m="1" x="8"/>
        <item x="5"/>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3">
        <item x="0"/>
        <item x="2"/>
        <item x="1"/>
      </items>
      <extLst>
        <ext xmlns:x14="http://schemas.microsoft.com/office/spreadsheetml/2009/9/main" uri="{2946ED86-A175-432a-8AC1-64E0C546D7DE}">
          <x14:pivotField fillDownLabels="1"/>
        </ext>
      </extLst>
    </pivotField>
    <pivotField axis="axisRow" compact="0" outline="0" subtotalTop="0" showAll="0" defaultSubtotal="0">
      <items count="2">
        <item x="1"/>
        <item x="0"/>
      </items>
      <extLst>
        <ext xmlns:x14="http://schemas.microsoft.com/office/spreadsheetml/2009/9/main" uri="{2946ED86-A175-432a-8AC1-64E0C546D7DE}">
          <x14:pivotField fillDownLabels="1"/>
        </ext>
      </extLst>
    </pivotField>
  </pivotFields>
  <rowFields count="4">
    <field x="25"/>
    <field x="26"/>
    <field x="27"/>
    <field x="28"/>
  </rowFields>
  <rowItems count="7">
    <i>
      <x v="2"/>
      <x v="1"/>
      <x v="2"/>
      <x/>
    </i>
    <i>
      <x v="3"/>
      <x v="1"/>
      <x v="2"/>
      <x/>
    </i>
    <i>
      <x v="4"/>
      <x v="1"/>
      <x v="2"/>
      <x/>
    </i>
    <i>
      <x v="5"/>
      <x v="1"/>
      <x v="2"/>
      <x/>
    </i>
    <i>
      <x v="6"/>
      <x v="1"/>
      <x v="1"/>
      <x/>
    </i>
    <i>
      <x v="8"/>
      <x v="1"/>
      <x v="2"/>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153F5B4-0588-493B-BD01-570E186644DE}"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24C4D8-F08C-471C-AE25-014945E085FF}" name="Результат" displayName="Результат" ref="A5:AC296" tableType="queryTable" totalsRowCount="1">
  <autoFilter ref="A5:AC295" xr:uid="{BF24C4D8-F08C-471C-AE25-014945E085FF}"/>
  <tableColumns count="29">
    <tableColumn id="1" xr3:uid="{3743B9DD-ECCB-464B-9EEB-91B580619D42}" uniqueName="1" name="ГРБС" totalsRowLabel="Итог" queryTableFieldId="1"/>
    <tableColumn id="2" xr3:uid="{E5DDEE31-4C53-4E4B-9ED5-89612B2562A7}" uniqueName="2" name="РзПр" queryTableFieldId="2"/>
    <tableColumn id="3" xr3:uid="{8786C0F4-37A7-4B4F-8DA4-B2B857B14672}" uniqueName="3" name="ЦСР" queryTableFieldId="3"/>
    <tableColumn id="4" xr3:uid="{94407F87-1DEF-45CA-821B-08BC279D58D3}" uniqueName="4" name="ВР" queryTableFieldId="4"/>
    <tableColumn id="5" xr3:uid="{0444AB0B-3442-4EB5-B89D-2C74444D2DE3}" uniqueName="5" name="Тип средств" queryTableFieldId="5"/>
    <tableColumn id="6" xr3:uid="{AFA749E9-CBA4-4416-AA52-8B689CDD7258}" uniqueName="6" name="КОСГУ" queryTableFieldId="6"/>
    <tableColumn id="7" xr3:uid="{5ED619E3-D260-43AC-AC7A-88ABC1EF2B6F}" uniqueName="7" name="СубКОСГУ" queryTableFieldId="7"/>
    <tableColumn id="8" xr3:uid="{85938979-98D1-45A7-AFCF-E7F07B167821}" uniqueName="8" name="Получатель субсидии" queryTableFieldId="8"/>
    <tableColumn id="9" xr3:uid="{B9217700-FF7D-4AC8-B948-D65C25F16FE5}" uniqueName="9" name="Код цели" queryTableFieldId="9"/>
    <tableColumn id="10" xr3:uid="{F125E892-83C4-452F-BA6B-B2270CF6154F}" uniqueName="10" name="КРКС" queryTableFieldId="10"/>
    <tableColumn id="11" xr3:uid="{6DFDA267-0359-4339-BE65-9F39240BD7B2}" uniqueName="11" name="Код РО" queryTableFieldId="11"/>
    <tableColumn id="12" xr3:uid="{EB14FA66-9C1E-4232-A5DB-8BBBC235C74C}" uniqueName="12" name="Сумма на 2023 год" queryTableFieldId="12"/>
    <tableColumn id="13" xr3:uid="{F0CF3CBC-9A4A-42D9-8F87-0D4CBBFACD56}" uniqueName="13" name="Сумма на 2024 год" queryTableFieldId="13"/>
    <tableColumn id="14" xr3:uid="{38870BA9-3C58-4A10-A68F-0FEDDE236CAD}" uniqueName="14" name="Сумма на 2025 год" queryTableFieldId="14"/>
    <tableColumn id="15" xr3:uid="{ACB53E70-0CCA-4112-BB87-87F925B324E1}" uniqueName="15" name="Исполнено" queryTableFieldId="15"/>
    <tableColumn id="16" xr3:uid="{4072F570-303F-47DB-887E-723842F9406E}" uniqueName="16" name="Остаток" queryTableFieldId="16"/>
    <tableColumn id="17" xr3:uid="{1795EDF0-FD3D-42AD-918C-5370E9A7E5E0}" uniqueName="17" name="КП ПБС квартал 1" queryTableFieldId="17"/>
    <tableColumn id="18" xr3:uid="{3A65F499-2283-4BE9-9912-B9BF6804115E}" uniqueName="18" name="КП ПБС квартал 2" queryTableFieldId="18"/>
    <tableColumn id="19" xr3:uid="{69425598-0D23-47B0-ACAB-C1AD9A608864}" uniqueName="19" name="КП ПБС квартал 3" queryTableFieldId="19"/>
    <tableColumn id="20" xr3:uid="{429E59E6-F92B-4BC7-BF8D-A37AE60D48F3}" uniqueName="20" name="КП ПБС квартал 4" queryTableFieldId="20"/>
    <tableColumn id="21" xr3:uid="{61681A0C-AAAB-41A9-95FC-851F644EE609}" uniqueName="21" name="КП ПБС 2023 год" totalsRowFunction="sum" queryTableFieldId="21" totalsRowDxfId="12" totalsRowCellStyle="Финансовый"/>
    <tableColumn id="22" xr3:uid="{4C632C48-CFD9-4E07-A0C4-B38DD2712A4B}" uniqueName="22" name="Остаток лимитов" queryTableFieldId="22"/>
    <tableColumn id="23" xr3:uid="{A0E04DFD-C6ED-4147-B794-0AECCCBC9890}" uniqueName="23" name="sis" queryTableFieldId="23" dataDxfId="11" totalsRowDxfId="10"/>
    <tableColumn id="24" xr3:uid="{70FB89FD-1C4B-4FBF-838C-BF54B990DED1}" uniqueName="24" name="тип средств2" totalsRowFunction="count" queryTableFieldId="24" dataDxfId="9">
      <calculatedColumnFormula>VLOOKUP(Результат[[#This Row],[Тип средств]],Таблица4[],2,0)</calculatedColumnFormula>
    </tableColumn>
    <tableColumn id="27" xr3:uid="{7948E917-60C4-42E0-8966-8B21477A473F}" uniqueName="27" name="Уровень бюджета" queryTableFieldId="27" dataDxfId="8">
      <calculatedColumnFormula>VLOOKUP(Результат[[#This Row],[Тип средств]],Таблица4[],3,0)</calculatedColumnFormula>
    </tableColumn>
    <tableColumn id="25" xr3:uid="{19BB1E8C-67CD-4D05-BB0D-534CD1733E78}"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226C36F2-43BF-4965-BFCC-75FEAED9D961}"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67B3B31A-C736-4729-A1C3-FFBF89C839C1}"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8BE2D980-410D-4FB0-9E86-73B08DBE0554}"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D47E50-46D4-4AE7-B5DC-068BBA8F9327}" name="Таблица3" displayName="Таблица3" ref="A1:E459" totalsRowShown="0">
  <autoFilter ref="A1:E459" xr:uid="{91D47E50-46D4-4AE7-B5DC-068BBA8F9327}"/>
  <tableColumns count="5">
    <tableColumn id="1" xr3:uid="{472D1754-02F9-46B3-8824-FB3239CE757C}" name="ЦСР" dataDxfId="2" dataCellStyle="Обычный 2"/>
    <tableColumn id="2" xr3:uid="{AAD33C7B-2D5F-4D41-A9DD-3D3C4DF39E0B}" name="Наименование" dataCellStyle="Обычный 2"/>
    <tableColumn id="5" xr3:uid="{AE25297F-4125-49D6-AC4D-24FE880B63CB}" name="номер подпрограммы" dataDxfId="1" dataCellStyle="Обычный 2">
      <calculatedColumnFormula>MID(RIGHT(Таблица3[[#This Row],[ЦСР]],LEN(Таблица3[[#This Row],[ЦСР]])-2),1,3)</calculatedColumnFormula>
    </tableColumn>
    <tableColumn id="6" xr3:uid="{CF6AA5C6-37F8-467A-9189-B501449574AF}"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7FD20AA6-1C3D-4D81-959D-90350391D6BC}"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138E1F0-29F3-4A7D-ABF3-93B62B72B718}" name="Таблица4" displayName="Таблица4" ref="A1:C89" totalsRowShown="0">
  <autoFilter ref="A1:C89" xr:uid="{3138E1F0-29F3-4A7D-ABF3-93B62B72B718}"/>
  <tableColumns count="3">
    <tableColumn id="1" xr3:uid="{E8275342-CBF0-4020-B861-B2E88AEE77E3}" name="Код"/>
    <tableColumn id="2" xr3:uid="{881F832D-0D85-4C13-A733-2FF301C854C9}" name="Тип средств"/>
    <tableColumn id="3" xr3:uid="{5117F030-3C55-4631-A9B8-536153CFF751}"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83D6E-722E-4C3A-BE6D-528C72724DFC}">
  <dimension ref="A5:AC299"/>
  <sheetViews>
    <sheetView workbookViewId="0">
      <selection activeCell="O1" sqref="O1"/>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3.5703125" bestFit="1" customWidth="1"/>
    <col min="16" max="16" width="11.7109375" bestFit="1" customWidth="1"/>
    <col min="17" max="20" width="18.85546875" bestFit="1" customWidth="1"/>
    <col min="21" max="21" width="17.85546875" bestFit="1" customWidth="1"/>
    <col min="22" max="22" width="19" bestFit="1" customWidth="1"/>
    <col min="23" max="23" width="1.7109375" style="4" customWidth="1"/>
    <col min="24" max="24" width="40.28515625" customWidth="1"/>
    <col min="25" max="25" width="22.28515625" customWidth="1"/>
    <col min="26" max="26" width="9" customWidth="1"/>
    <col min="27" max="27" width="27"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1447</v>
      </c>
      <c r="Z5" t="s">
        <v>1297</v>
      </c>
      <c r="AA5" t="s">
        <v>1453</v>
      </c>
      <c r="AB5" t="s">
        <v>1454</v>
      </c>
      <c r="AC5" t="s">
        <v>1457</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Z6" t="str">
        <f>IF(LEFT(Результат[[#This Row],[ЦСР]],2)="06",VLOOKUP(Результат[[#This Row],[ЦСР]],Таблица3[[ЦСР]:[Пункт подпрограммы]],4,0),"")</f>
        <v/>
      </c>
      <c r="AA6" t="str">
        <f>IF(LEFT(Результат[[#This Row],[Пункт подпрограммы]],1)="1","Развитие физической культуры и спорта в городе Нефтеюганске","")</f>
        <v/>
      </c>
      <c r="AB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37"/>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t="str">
        <f>VLOOKUP(Результат[[#This Row],[Тип средств]],Таблица4[],2,0)</f>
        <v>Бюджетные средства (Федеральный бюджет) Субсидии</v>
      </c>
      <c r="Y7" t="str">
        <f>VLOOKUP(Результат[[#This Row],[Тип средств]],Таблица4[],3,0)</f>
        <v>Федеральный бюджет</v>
      </c>
      <c r="Z7" t="str">
        <f>IF(LEFT(Результат[[#This Row],[ЦСР]],2)="06",VLOOKUP(Результат[[#This Row],[ЦСР]],Таблица3[[ЦСР]:[Пункт подпрограммы]],4,0),"")</f>
        <v>1.1.5</v>
      </c>
      <c r="AA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37" t="str">
        <f t="shared" ref="AC7:AC69" si="0">"КФКиС"</f>
        <v>КФКиС</v>
      </c>
    </row>
    <row r="8" spans="1:29" x14ac:dyDescent="0.25">
      <c r="A8" t="s">
        <v>22</v>
      </c>
      <c r="B8">
        <v>1103</v>
      </c>
      <c r="C8" t="s">
        <v>23</v>
      </c>
      <c r="D8">
        <v>612</v>
      </c>
      <c r="E8">
        <v>100020</v>
      </c>
      <c r="F8">
        <v>241</v>
      </c>
      <c r="G8">
        <v>310003</v>
      </c>
      <c r="H8" t="s">
        <v>24</v>
      </c>
      <c r="I8" t="s">
        <v>25</v>
      </c>
      <c r="J8">
        <v>120</v>
      </c>
      <c r="K8">
        <v>272042534</v>
      </c>
      <c r="L8">
        <v>504900</v>
      </c>
      <c r="M8">
        <v>528000</v>
      </c>
      <c r="N8">
        <v>0</v>
      </c>
      <c r="O8">
        <v>0</v>
      </c>
      <c r="P8">
        <v>504900</v>
      </c>
      <c r="Q8">
        <v>0</v>
      </c>
      <c r="R8">
        <v>0</v>
      </c>
      <c r="S8">
        <v>504900</v>
      </c>
      <c r="T8">
        <v>0</v>
      </c>
      <c r="U8">
        <v>504900</v>
      </c>
      <c r="V8">
        <v>0</v>
      </c>
      <c r="X8" t="str">
        <f>VLOOKUP(Результат[[#This Row],[Тип средств]],Таблица4[],2,0)</f>
        <v>Бюджетные средства (Федеральный бюджет) Субсидии</v>
      </c>
      <c r="Y8" t="str">
        <f>VLOOKUP(Результат[[#This Row],[Тип средств]],Таблица4[],3,0)</f>
        <v>Федеральный бюджет</v>
      </c>
      <c r="Z8" t="str">
        <f>IF(LEFT(Результат[[#This Row],[ЦСР]],2)="06",VLOOKUP(Результат[[#This Row],[ЦСР]],Таблица3[[ЦСР]:[Пункт подпрограммы]],4,0),"")</f>
        <v>1.1.5</v>
      </c>
      <c r="AA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3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t="str">
        <f>VLOOKUP(Результат[[#This Row],[Тип средств]],Таблица4[],2,0)</f>
        <v>Бюджетные средства (Бюджет субъекта РФ) Субсидии</v>
      </c>
      <c r="Y9" t="str">
        <f>VLOOKUP(Результат[[#This Row],[Тип средств]],Таблица4[],3,0)</f>
        <v>Окружной бюджет</v>
      </c>
      <c r="Z9" t="str">
        <f>IF(LEFT(Результат[[#This Row],[ЦСР]],2)="06",VLOOKUP(Результат[[#This Row],[ЦСР]],Таблица3[[ЦСР]:[Пункт подпрограммы]],4,0),"")</f>
        <v>1.1.3</v>
      </c>
      <c r="AA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3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362900</v>
      </c>
      <c r="R10">
        <v>1635425</v>
      </c>
      <c r="S10">
        <v>621300</v>
      </c>
      <c r="T10">
        <v>1742300</v>
      </c>
      <c r="U10">
        <v>4361925</v>
      </c>
      <c r="V10">
        <v>-8723850</v>
      </c>
      <c r="X10" t="str">
        <f>VLOOKUP(Результат[[#This Row],[Тип средств]],Таблица4[],2,0)</f>
        <v>Бюджетные средства (Бюджет субъекта РФ) Субсидии</v>
      </c>
      <c r="Y10" t="str">
        <f>VLOOKUP(Результат[[#This Row],[Тип средств]],Таблица4[],3,0)</f>
        <v>Окружной бюджет</v>
      </c>
      <c r="Z10" t="str">
        <f>IF(LEFT(Результат[[#This Row],[ЦСР]],2)="06",VLOOKUP(Результат[[#This Row],[ЦСР]],Таблица3[[ЦСР]:[Пункт подпрограммы]],4,0),"")</f>
        <v>1.1.4</v>
      </c>
      <c r="AA1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3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139080</v>
      </c>
      <c r="R11">
        <v>0</v>
      </c>
      <c r="S11">
        <v>0</v>
      </c>
      <c r="T11">
        <v>0</v>
      </c>
      <c r="U11">
        <v>139080</v>
      </c>
      <c r="V11">
        <v>-278160</v>
      </c>
      <c r="X11" t="str">
        <f>VLOOKUP(Результат[[#This Row],[Тип средств]],Таблица4[],2,0)</f>
        <v>Бюджетные средства (Бюджет субъекта РФ) Субсидии</v>
      </c>
      <c r="Y11" t="str">
        <f>VLOOKUP(Результат[[#This Row],[Тип средств]],Таблица4[],3,0)</f>
        <v>Окружной бюджет</v>
      </c>
      <c r="Z11" t="str">
        <f>IF(LEFT(Результат[[#This Row],[ЦСР]],2)="06",VLOOKUP(Результат[[#This Row],[ЦСР]],Таблица3[[ЦСР]:[Пункт подпрограммы]],4,0),"")</f>
        <v>1.1.4</v>
      </c>
      <c r="AA1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3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1071600</v>
      </c>
      <c r="R12">
        <v>1117200</v>
      </c>
      <c r="S12">
        <v>357200</v>
      </c>
      <c r="T12">
        <v>854430</v>
      </c>
      <c r="U12">
        <v>3400430</v>
      </c>
      <c r="V12">
        <v>-6800860</v>
      </c>
      <c r="X12" t="str">
        <f>VLOOKUP(Результат[[#This Row],[Тип средств]],Таблица4[],2,0)</f>
        <v>Бюджетные средства (Бюджет субъекта РФ) Субсидии</v>
      </c>
      <c r="Y12" t="str">
        <f>VLOOKUP(Результат[[#This Row],[Тип средств]],Таблица4[],3,0)</f>
        <v>Окружной бюджет</v>
      </c>
      <c r="Z12" t="str">
        <f>IF(LEFT(Результат[[#This Row],[ЦСР]],2)="06",VLOOKUP(Результат[[#This Row],[ЦСР]],Таблица3[[ЦСР]:[Пункт подпрограммы]],4,0),"")</f>
        <v>1.1.4</v>
      </c>
      <c r="AA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3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1166022</v>
      </c>
      <c r="S13">
        <v>0</v>
      </c>
      <c r="T13">
        <v>0</v>
      </c>
      <c r="U13">
        <v>1166022</v>
      </c>
      <c r="V13">
        <v>-2332044</v>
      </c>
      <c r="X13" t="str">
        <f>VLOOKUP(Результат[[#This Row],[Тип средств]],Таблица4[],2,0)</f>
        <v>Бюджетные средства (Бюджет субъекта РФ) Субсидии</v>
      </c>
      <c r="Y13" t="str">
        <f>VLOOKUP(Результат[[#This Row],[Тип средств]],Таблица4[],3,0)</f>
        <v>Окружной бюджет</v>
      </c>
      <c r="Z13" t="str">
        <f>IF(LEFT(Результат[[#This Row],[ЦСР]],2)="06",VLOOKUP(Результат[[#This Row],[ЦСР]],Таблица3[[ЦСР]:[Пункт подпрограммы]],4,0),"")</f>
        <v>1.1.4</v>
      </c>
      <c r="AA1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3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3198080</v>
      </c>
      <c r="U14">
        <v>3198080</v>
      </c>
      <c r="V14">
        <v>-6396160</v>
      </c>
      <c r="X14" t="str">
        <f>VLOOKUP(Результат[[#This Row],[Тип средств]],Таблица4[],2,0)</f>
        <v>Бюджетные средства (Бюджет субъекта РФ) Субсидии</v>
      </c>
      <c r="Y14" t="str">
        <f>VLOOKUP(Результат[[#This Row],[Тип средств]],Таблица4[],3,0)</f>
        <v>Окружной бюджет</v>
      </c>
      <c r="Z14" t="str">
        <f>IF(LEFT(Результат[[#This Row],[ЦСР]],2)="06",VLOOKUP(Результат[[#This Row],[ЦСР]],Таблица3[[ЦСР]:[Пункт подпрограммы]],4,0),"")</f>
        <v>1.1.4</v>
      </c>
      <c r="AA1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3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479750</v>
      </c>
      <c r="S15">
        <v>0</v>
      </c>
      <c r="T15">
        <v>0</v>
      </c>
      <c r="U15">
        <v>479750</v>
      </c>
      <c r="V15">
        <v>-959500</v>
      </c>
      <c r="X15" t="str">
        <f>VLOOKUP(Результат[[#This Row],[Тип средств]],Таблица4[],2,0)</f>
        <v>Бюджетные средства (Бюджет субъекта РФ) Субсидии</v>
      </c>
      <c r="Y15" t="str">
        <f>VLOOKUP(Результат[[#This Row],[Тип средств]],Таблица4[],3,0)</f>
        <v>Окружной бюджет</v>
      </c>
      <c r="Z15" t="str">
        <f>IF(LEFT(Результат[[#This Row],[ЦСР]],2)="06",VLOOKUP(Результат[[#This Row],[ЦСР]],Таблица3[[ЦСР]:[Пункт подпрограммы]],4,0),"")</f>
        <v>1.1.4</v>
      </c>
      <c r="AA1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3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720218</v>
      </c>
      <c r="S16">
        <v>0</v>
      </c>
      <c r="T16">
        <v>0</v>
      </c>
      <c r="U16">
        <v>720218</v>
      </c>
      <c r="V16">
        <v>-1440436</v>
      </c>
      <c r="X16" t="str">
        <f>VLOOKUP(Результат[[#This Row],[Тип средств]],Таблица4[],2,0)</f>
        <v>Бюджетные средства (Бюджет субъекта РФ) Субсидии</v>
      </c>
      <c r="Y16" t="str">
        <f>VLOOKUP(Результат[[#This Row],[Тип средств]],Таблица4[],3,0)</f>
        <v>Окружной бюджет</v>
      </c>
      <c r="Z16" t="str">
        <f>IF(LEFT(Результат[[#This Row],[ЦСР]],2)="06",VLOOKUP(Результат[[#This Row],[ЦСР]],Таблица3[[ЦСР]:[Пункт подпрограммы]],4,0),"")</f>
        <v>1.1.4</v>
      </c>
      <c r="AA1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3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522500</v>
      </c>
      <c r="S17">
        <v>0</v>
      </c>
      <c r="T17">
        <v>0</v>
      </c>
      <c r="U17">
        <v>522500</v>
      </c>
      <c r="V17">
        <v>-1045000</v>
      </c>
      <c r="X17" t="str">
        <f>VLOOKUP(Результат[[#This Row],[Тип средств]],Таблица4[],2,0)</f>
        <v>Бюджетные средства (Бюджет субъекта РФ) Субсидии</v>
      </c>
      <c r="Y17" t="str">
        <f>VLOOKUP(Результат[[#This Row],[Тип средств]],Таблица4[],3,0)</f>
        <v>Окружной бюджет</v>
      </c>
      <c r="Z17" t="str">
        <f>IF(LEFT(Результат[[#This Row],[ЦСР]],2)="06",VLOOKUP(Результат[[#This Row],[ЦСР]],Таблица3[[ЦСР]:[Пункт подпрограммы]],4,0),"")</f>
        <v>1.1.4</v>
      </c>
      <c r="AA1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3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477200</v>
      </c>
      <c r="T18">
        <v>0</v>
      </c>
      <c r="U18">
        <v>477200</v>
      </c>
      <c r="V18">
        <v>-954400</v>
      </c>
      <c r="X18" t="str">
        <f>VLOOKUP(Результат[[#This Row],[Тип средств]],Таблица4[],2,0)</f>
        <v>Бюджетные средства (Бюджет субъекта РФ) Субсидии</v>
      </c>
      <c r="Y18" t="str">
        <f>VLOOKUP(Результат[[#This Row],[Тип средств]],Таблица4[],3,0)</f>
        <v>Окружной бюджет</v>
      </c>
      <c r="Z18" t="str">
        <f>IF(LEFT(Результат[[#This Row],[ЦСР]],2)="06",VLOOKUP(Результат[[#This Row],[ЦСР]],Таблица3[[ЦСР]:[Пункт подпрограммы]],4,0),"")</f>
        <v>1.1.4</v>
      </c>
      <c r="AA1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3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99743</v>
      </c>
      <c r="S19">
        <v>0</v>
      </c>
      <c r="T19">
        <v>0</v>
      </c>
      <c r="U19">
        <v>99743</v>
      </c>
      <c r="V19">
        <v>-199486</v>
      </c>
      <c r="X19" t="str">
        <f>VLOOKUP(Результат[[#This Row],[Тип средств]],Таблица4[],2,0)</f>
        <v>Бюджетные средства (Бюджет субъекта РФ) Субсидии</v>
      </c>
      <c r="Y19" t="str">
        <f>VLOOKUP(Результат[[#This Row],[Тип средств]],Таблица4[],3,0)</f>
        <v>Окружной бюджет</v>
      </c>
      <c r="Z19" t="str">
        <f>IF(LEFT(Результат[[#This Row],[ЦСР]],2)="06",VLOOKUP(Результат[[#This Row],[ЦСР]],Таблица3[[ЦСР]:[Пункт подпрограммы]],4,0),"")</f>
        <v>1.1.4</v>
      </c>
      <c r="AA1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3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1100000</v>
      </c>
      <c r="R20">
        <v>1800000</v>
      </c>
      <c r="S20">
        <v>800000</v>
      </c>
      <c r="T20">
        <v>2317852</v>
      </c>
      <c r="U20">
        <v>6017852</v>
      </c>
      <c r="V20">
        <v>-12035704</v>
      </c>
      <c r="X20" t="str">
        <f>VLOOKUP(Результат[[#This Row],[Тип средств]],Таблица4[],2,0)</f>
        <v>Бюджетные средства (Бюджет субъекта РФ) Субсидии</v>
      </c>
      <c r="Y20" t="str">
        <f>VLOOKUP(Результат[[#This Row],[Тип средств]],Таблица4[],3,0)</f>
        <v>Окружной бюджет</v>
      </c>
      <c r="Z20" t="str">
        <f>IF(LEFT(Результат[[#This Row],[ЦСР]],2)="06",VLOOKUP(Результат[[#This Row],[ЦСР]],Таблица3[[ЦСР]:[Пункт подпрограммы]],4,0),"")</f>
        <v>1.1.4</v>
      </c>
      <c r="AA2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3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t="str">
        <f>VLOOKUP(Результат[[#This Row],[Тип средств]],Таблица4[],2,0)</f>
        <v>Бюджетные средства (Бюджет субъекта РФ) Субсидии</v>
      </c>
      <c r="Y21" t="str">
        <f>VLOOKUP(Результат[[#This Row],[Тип средств]],Таблица4[],3,0)</f>
        <v>Окружной бюджет</v>
      </c>
      <c r="Z21" t="str">
        <f>IF(LEFT(Результат[[#This Row],[ЦСР]],2)="06",VLOOKUP(Результат[[#This Row],[ЦСР]],Таблица3[[ЦСР]:[Пункт подпрограммы]],4,0),"")</f>
        <v>1.1.4</v>
      </c>
      <c r="AA2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3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t="str">
        <f>VLOOKUP(Результат[[#This Row],[Тип средств]],Таблица4[],2,0)</f>
        <v>Бюджетные средства (Бюджет субъекта РФ) Субсидии</v>
      </c>
      <c r="Y22" t="str">
        <f>VLOOKUP(Результат[[#This Row],[Тип средств]],Таблица4[],3,0)</f>
        <v>Окружной бюджет</v>
      </c>
      <c r="Z22" t="str">
        <f>IF(LEFT(Результат[[#This Row],[ЦСР]],2)="06",VLOOKUP(Результат[[#This Row],[ЦСР]],Таблица3[[ЦСР]:[Пункт подпрограммы]],4,0),"")</f>
        <v/>
      </c>
      <c r="AA22" t="str">
        <f>IF(LEFT(Результат[[#This Row],[Пункт подпрограммы]],1)="1","Развитие физической культуры и спорта в городе Нефтеюганске","")</f>
        <v/>
      </c>
      <c r="AB2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3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0</v>
      </c>
      <c r="R23">
        <v>0</v>
      </c>
      <c r="S23">
        <v>0</v>
      </c>
      <c r="T23">
        <v>0</v>
      </c>
      <c r="U23">
        <v>0</v>
      </c>
      <c r="V23">
        <v>4361925</v>
      </c>
      <c r="X23" t="str">
        <f>VLOOKUP(Результат[[#This Row],[Тип средств]],Таблица4[],2,0)</f>
        <v>Бюджетные средства (Бюджет субъекта РФ) Субсидии</v>
      </c>
      <c r="Y23" t="str">
        <f>VLOOKUP(Результат[[#This Row],[Тип средств]],Таблица4[],3,0)</f>
        <v>Окружной бюджет</v>
      </c>
      <c r="Z23" t="str">
        <f>IF(LEFT(Результат[[#This Row],[ЦСР]],2)="06",VLOOKUP(Результат[[#This Row],[ЦСР]],Таблица3[[ЦСР]:[Пункт подпрограммы]],4,0),"")</f>
        <v>1.1.4</v>
      </c>
      <c r="AA2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3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0</v>
      </c>
      <c r="R24">
        <v>0</v>
      </c>
      <c r="S24">
        <v>0</v>
      </c>
      <c r="T24">
        <v>0</v>
      </c>
      <c r="U24">
        <v>0</v>
      </c>
      <c r="V24">
        <v>139080</v>
      </c>
      <c r="X24" t="str">
        <f>VLOOKUP(Результат[[#This Row],[Тип средств]],Таблица4[],2,0)</f>
        <v>Бюджетные средства (Бюджет субъекта РФ) Субсидии</v>
      </c>
      <c r="Y24" t="str">
        <f>VLOOKUP(Результат[[#This Row],[Тип средств]],Таблица4[],3,0)</f>
        <v>Окружной бюджет</v>
      </c>
      <c r="Z24" t="str">
        <f>IF(LEFT(Результат[[#This Row],[ЦСР]],2)="06",VLOOKUP(Результат[[#This Row],[ЦСР]],Таблица3[[ЦСР]:[Пункт подпрограммы]],4,0),"")</f>
        <v>1.1.4</v>
      </c>
      <c r="AA2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3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0</v>
      </c>
      <c r="R25">
        <v>0</v>
      </c>
      <c r="S25">
        <v>0</v>
      </c>
      <c r="T25">
        <v>0</v>
      </c>
      <c r="U25">
        <v>0</v>
      </c>
      <c r="V25">
        <v>3400430</v>
      </c>
      <c r="X25" t="str">
        <f>VLOOKUP(Результат[[#This Row],[Тип средств]],Таблица4[],2,0)</f>
        <v>Бюджетные средства (Бюджет субъекта РФ) Субсидии</v>
      </c>
      <c r="Y25" t="str">
        <f>VLOOKUP(Результат[[#This Row],[Тип средств]],Таблица4[],3,0)</f>
        <v>Окружной бюджет</v>
      </c>
      <c r="Z25" t="str">
        <f>IF(LEFT(Результат[[#This Row],[ЦСР]],2)="06",VLOOKUP(Результат[[#This Row],[ЦСР]],Таблица3[[ЦСР]:[Пункт подпрограммы]],4,0),"")</f>
        <v>1.1.4</v>
      </c>
      <c r="AA2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3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0</v>
      </c>
      <c r="S26">
        <v>0</v>
      </c>
      <c r="T26">
        <v>0</v>
      </c>
      <c r="U26">
        <v>0</v>
      </c>
      <c r="V26">
        <v>1166022</v>
      </c>
      <c r="X26" t="str">
        <f>VLOOKUP(Результат[[#This Row],[Тип средств]],Таблица4[],2,0)</f>
        <v>Бюджетные средства (Бюджет субъекта РФ) Субсидии</v>
      </c>
      <c r="Y26" t="str">
        <f>VLOOKUP(Результат[[#This Row],[Тип средств]],Таблица4[],3,0)</f>
        <v>Окружной бюджет</v>
      </c>
      <c r="Z26" t="str">
        <f>IF(LEFT(Результат[[#This Row],[ЦСР]],2)="06",VLOOKUP(Результат[[#This Row],[ЦСР]],Таблица3[[ЦСР]:[Пункт подпрограммы]],4,0),"")</f>
        <v>1.1.4</v>
      </c>
      <c r="AA2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3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0</v>
      </c>
      <c r="U27">
        <v>0</v>
      </c>
      <c r="V27">
        <v>3198080</v>
      </c>
      <c r="X27" t="str">
        <f>VLOOKUP(Результат[[#This Row],[Тип средств]],Таблица4[],2,0)</f>
        <v>Бюджетные средства (Бюджет субъекта РФ) Субсидии</v>
      </c>
      <c r="Y27" t="str">
        <f>VLOOKUP(Результат[[#This Row],[Тип средств]],Таблица4[],3,0)</f>
        <v>Окружной бюджет</v>
      </c>
      <c r="Z27" t="str">
        <f>IF(LEFT(Результат[[#This Row],[ЦСР]],2)="06",VLOOKUP(Результат[[#This Row],[ЦСР]],Таблица3[[ЦСР]:[Пункт подпрограммы]],4,0),"")</f>
        <v>1.1.4</v>
      </c>
      <c r="AA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3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0</v>
      </c>
      <c r="S28">
        <v>0</v>
      </c>
      <c r="T28">
        <v>0</v>
      </c>
      <c r="U28">
        <v>0</v>
      </c>
      <c r="V28">
        <v>479750</v>
      </c>
      <c r="X28" t="str">
        <f>VLOOKUP(Результат[[#This Row],[Тип средств]],Таблица4[],2,0)</f>
        <v>Бюджетные средства (Бюджет субъекта РФ) Субсидии</v>
      </c>
      <c r="Y28" t="str">
        <f>VLOOKUP(Результат[[#This Row],[Тип средств]],Таблица4[],3,0)</f>
        <v>Окружной бюджет</v>
      </c>
      <c r="Z28" t="str">
        <f>IF(LEFT(Результат[[#This Row],[ЦСР]],2)="06",VLOOKUP(Результат[[#This Row],[ЦСР]],Таблица3[[ЦСР]:[Пункт подпрограммы]],4,0),"")</f>
        <v>1.1.4</v>
      </c>
      <c r="AA2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3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0</v>
      </c>
      <c r="S29">
        <v>0</v>
      </c>
      <c r="T29">
        <v>0</v>
      </c>
      <c r="U29">
        <v>0</v>
      </c>
      <c r="V29">
        <v>720218</v>
      </c>
      <c r="X29" t="str">
        <f>VLOOKUP(Результат[[#This Row],[Тип средств]],Таблица4[],2,0)</f>
        <v>Бюджетные средства (Бюджет субъекта РФ) Субсидии</v>
      </c>
      <c r="Y29" t="str">
        <f>VLOOKUP(Результат[[#This Row],[Тип средств]],Таблица4[],3,0)</f>
        <v>Окружной бюджет</v>
      </c>
      <c r="Z29" t="str">
        <f>IF(LEFT(Результат[[#This Row],[ЦСР]],2)="06",VLOOKUP(Результат[[#This Row],[ЦСР]],Таблица3[[ЦСР]:[Пункт подпрограммы]],4,0),"")</f>
        <v>1.1.4</v>
      </c>
      <c r="AA2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3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0</v>
      </c>
      <c r="S30">
        <v>0</v>
      </c>
      <c r="T30">
        <v>0</v>
      </c>
      <c r="U30">
        <v>0</v>
      </c>
      <c r="V30">
        <v>522500</v>
      </c>
      <c r="X30" t="str">
        <f>VLOOKUP(Результат[[#This Row],[Тип средств]],Таблица4[],2,0)</f>
        <v>Бюджетные средства (Бюджет субъекта РФ) Субсидии</v>
      </c>
      <c r="Y30" t="str">
        <f>VLOOKUP(Результат[[#This Row],[Тип средств]],Таблица4[],3,0)</f>
        <v>Окружной бюджет</v>
      </c>
      <c r="Z30" t="str">
        <f>IF(LEFT(Результат[[#This Row],[ЦСР]],2)="06",VLOOKUP(Результат[[#This Row],[ЦСР]],Таблица3[[ЦСР]:[Пункт подпрограммы]],4,0),"")</f>
        <v>1.1.4</v>
      </c>
      <c r="AA3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3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0</v>
      </c>
      <c r="T31">
        <v>0</v>
      </c>
      <c r="U31">
        <v>0</v>
      </c>
      <c r="V31">
        <v>477200</v>
      </c>
      <c r="X31" t="str">
        <f>VLOOKUP(Результат[[#This Row],[Тип средств]],Таблица4[],2,0)</f>
        <v>Бюджетные средства (Бюджет субъекта РФ) Субсидии</v>
      </c>
      <c r="Y31" t="str">
        <f>VLOOKUP(Результат[[#This Row],[Тип средств]],Таблица4[],3,0)</f>
        <v>Окружной бюджет</v>
      </c>
      <c r="Z31" t="str">
        <f>IF(LEFT(Результат[[#This Row],[ЦСР]],2)="06",VLOOKUP(Результат[[#This Row],[ЦСР]],Таблица3[[ЦСР]:[Пункт подпрограммы]],4,0),"")</f>
        <v>1.1.4</v>
      </c>
      <c r="AA3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3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0</v>
      </c>
      <c r="S32">
        <v>0</v>
      </c>
      <c r="T32">
        <v>0</v>
      </c>
      <c r="U32">
        <v>0</v>
      </c>
      <c r="V32">
        <v>99743</v>
      </c>
      <c r="X32" t="str">
        <f>VLOOKUP(Результат[[#This Row],[Тип средств]],Таблица4[],2,0)</f>
        <v>Бюджетные средства (Бюджет субъекта РФ) Субсидии</v>
      </c>
      <c r="Y32" t="str">
        <f>VLOOKUP(Результат[[#This Row],[Тип средств]],Таблица4[],3,0)</f>
        <v>Окружной бюджет</v>
      </c>
      <c r="Z32" t="str">
        <f>IF(LEFT(Результат[[#This Row],[ЦСР]],2)="06",VLOOKUP(Результат[[#This Row],[ЦСР]],Таблица3[[ЦСР]:[Пункт подпрограммы]],4,0),"")</f>
        <v>1.1.4</v>
      </c>
      <c r="AA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3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0</v>
      </c>
      <c r="R33">
        <v>0</v>
      </c>
      <c r="S33">
        <v>0</v>
      </c>
      <c r="T33">
        <v>0</v>
      </c>
      <c r="U33">
        <v>0</v>
      </c>
      <c r="V33">
        <v>6017852</v>
      </c>
      <c r="X33" t="str">
        <f>VLOOKUP(Результат[[#This Row],[Тип средств]],Таблица4[],2,0)</f>
        <v>Бюджетные средства (Бюджет субъекта РФ) Субсидии</v>
      </c>
      <c r="Y33" t="str">
        <f>VLOOKUP(Результат[[#This Row],[Тип средств]],Таблица4[],3,0)</f>
        <v>Окружной бюджет</v>
      </c>
      <c r="Z33" t="str">
        <f>IF(LEFT(Результат[[#This Row],[ЦСР]],2)="06",VLOOKUP(Результат[[#This Row],[ЦСР]],Таблица3[[ЦСР]:[Пункт подпрограммы]],4,0),"")</f>
        <v>1.1.4</v>
      </c>
      <c r="AA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3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t="str">
        <f>VLOOKUP(Результат[[#This Row],[Тип средств]],Таблица4[],2,0)</f>
        <v>Бюджетные средства (Бюджет субъекта РФ) Субсидии</v>
      </c>
      <c r="Y34" t="str">
        <f>VLOOKUP(Результат[[#This Row],[Тип средств]],Таблица4[],3,0)</f>
        <v>Окружной бюджет</v>
      </c>
      <c r="Z34" t="str">
        <f>IF(LEFT(Результат[[#This Row],[ЦСР]],2)="06",VLOOKUP(Результат[[#This Row],[ЦСР]],Таблица3[[ЦСР]:[Пункт подпрограммы]],4,0),"")</f>
        <v>1.1.5</v>
      </c>
      <c r="AA3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37" t="str">
        <f t="shared" si="0"/>
        <v>КФКиС</v>
      </c>
    </row>
    <row r="35" spans="1:29" x14ac:dyDescent="0.25">
      <c r="A35" t="s">
        <v>22</v>
      </c>
      <c r="B35">
        <v>1103</v>
      </c>
      <c r="C35" t="s">
        <v>23</v>
      </c>
      <c r="D35">
        <v>612</v>
      </c>
      <c r="E35">
        <v>200020</v>
      </c>
      <c r="F35">
        <v>241</v>
      </c>
      <c r="G35">
        <v>310003</v>
      </c>
      <c r="H35" t="s">
        <v>24</v>
      </c>
      <c r="I35" t="s">
        <v>25</v>
      </c>
      <c r="J35">
        <v>120</v>
      </c>
      <c r="K35">
        <v>272042534</v>
      </c>
      <c r="L35">
        <v>617000</v>
      </c>
      <c r="M35">
        <v>645300</v>
      </c>
      <c r="N35">
        <v>0</v>
      </c>
      <c r="O35">
        <v>0</v>
      </c>
      <c r="P35">
        <v>617000</v>
      </c>
      <c r="Q35">
        <v>0</v>
      </c>
      <c r="R35">
        <v>0</v>
      </c>
      <c r="S35">
        <v>617000</v>
      </c>
      <c r="T35">
        <v>0</v>
      </c>
      <c r="U35">
        <v>617000</v>
      </c>
      <c r="V35">
        <v>0</v>
      </c>
      <c r="X35" t="str">
        <f>VLOOKUP(Результат[[#This Row],[Тип средств]],Таблица4[],2,0)</f>
        <v>Бюджетные средства (Бюджет субъекта РФ) Субсидии</v>
      </c>
      <c r="Y35" t="str">
        <f>VLOOKUP(Результат[[#This Row],[Тип средств]],Таблица4[],3,0)</f>
        <v>Окружной бюджет</v>
      </c>
      <c r="Z35" t="str">
        <f>IF(LEFT(Результат[[#This Row],[ЦСР]],2)="06",VLOOKUP(Результат[[#This Row],[ЦСР]],Таблица3[[ЦСР]:[Пункт подпрограммы]],4,0),"")</f>
        <v>1.1.5</v>
      </c>
      <c r="AA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37" t="str">
        <f t="shared" si="0"/>
        <v>КФКиС</v>
      </c>
    </row>
    <row r="36" spans="1:29" x14ac:dyDescent="0.25">
      <c r="A36" t="s">
        <v>22</v>
      </c>
      <c r="B36">
        <v>709</v>
      </c>
      <c r="C36" t="s">
        <v>38</v>
      </c>
      <c r="D36">
        <v>244</v>
      </c>
      <c r="E36">
        <v>400010</v>
      </c>
      <c r="F36">
        <v>222</v>
      </c>
      <c r="G36">
        <v>222001</v>
      </c>
      <c r="J36">
        <v>120</v>
      </c>
      <c r="K36">
        <v>272042526</v>
      </c>
      <c r="L36">
        <v>0</v>
      </c>
      <c r="M36">
        <v>0</v>
      </c>
      <c r="N36">
        <v>0</v>
      </c>
      <c r="O36">
        <v>0</v>
      </c>
      <c r="P36">
        <v>0</v>
      </c>
      <c r="Q36">
        <v>0</v>
      </c>
      <c r="R36">
        <v>183700</v>
      </c>
      <c r="S36">
        <v>0</v>
      </c>
      <c r="T36">
        <v>0</v>
      </c>
      <c r="U36">
        <v>183700</v>
      </c>
      <c r="V36">
        <v>-183700</v>
      </c>
      <c r="X36" t="str">
        <f>VLOOKUP(Результат[[#This Row],[Тип средств]],Таблица4[],2,0)</f>
        <v>Бюджетные средства (Бюджет муниципального образования)</v>
      </c>
      <c r="Y36" t="str">
        <f>VLOOKUP(Результат[[#This Row],[Тип средств]],Таблица4[],3,0)</f>
        <v>Местный бюджет</v>
      </c>
      <c r="Z36" t="str">
        <f>IF(LEFT(Результат[[#This Row],[ЦСР]],2)="06",VLOOKUP(Результат[[#This Row],[ЦСР]],Таблица3[[ЦСР]:[Пункт подпрограммы]],4,0),"")</f>
        <v>1.1.2</v>
      </c>
      <c r="AA3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6" s="37" t="str">
        <f t="shared" si="0"/>
        <v>КФКиС</v>
      </c>
    </row>
    <row r="37" spans="1:29" x14ac:dyDescent="0.25">
      <c r="A37" t="s">
        <v>22</v>
      </c>
      <c r="B37">
        <v>709</v>
      </c>
      <c r="C37" t="s">
        <v>38</v>
      </c>
      <c r="D37">
        <v>244</v>
      </c>
      <c r="E37">
        <v>400010</v>
      </c>
      <c r="F37">
        <v>226</v>
      </c>
      <c r="G37">
        <v>226011</v>
      </c>
      <c r="J37">
        <v>120</v>
      </c>
      <c r="K37">
        <v>272042526</v>
      </c>
      <c r="L37">
        <v>0</v>
      </c>
      <c r="M37">
        <v>0</v>
      </c>
      <c r="N37">
        <v>0</v>
      </c>
      <c r="O37">
        <v>0</v>
      </c>
      <c r="P37">
        <v>0</v>
      </c>
      <c r="Q37">
        <v>0</v>
      </c>
      <c r="R37">
        <v>0</v>
      </c>
      <c r="S37">
        <v>247100</v>
      </c>
      <c r="T37">
        <v>0</v>
      </c>
      <c r="U37">
        <v>247100</v>
      </c>
      <c r="V37">
        <v>-247100</v>
      </c>
      <c r="X37" t="str">
        <f>VLOOKUP(Результат[[#This Row],[Тип средств]],Таблица4[],2,0)</f>
        <v>Бюджетные средства (Бюджет муниципального образования)</v>
      </c>
      <c r="Y37" t="str">
        <f>VLOOKUP(Результат[[#This Row],[Тип средств]],Таблица4[],3,0)</f>
        <v>Местный бюджет</v>
      </c>
      <c r="Z37" t="str">
        <f>IF(LEFT(Результат[[#This Row],[ЦСР]],2)="06",VLOOKUP(Результат[[#This Row],[ЦСР]],Таблица3[[ЦСР]:[Пункт подпрограммы]],4,0),"")</f>
        <v>1.1.2</v>
      </c>
      <c r="AA3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37" t="str">
        <f t="shared" si="0"/>
        <v>КФКиС</v>
      </c>
    </row>
    <row r="38" spans="1:29" x14ac:dyDescent="0.25">
      <c r="A38" t="s">
        <v>22</v>
      </c>
      <c r="B38">
        <v>709</v>
      </c>
      <c r="C38" t="s">
        <v>38</v>
      </c>
      <c r="D38">
        <v>244</v>
      </c>
      <c r="E38">
        <v>400010</v>
      </c>
      <c r="F38">
        <v>346</v>
      </c>
      <c r="G38">
        <v>346001</v>
      </c>
      <c r="J38">
        <v>120</v>
      </c>
      <c r="K38">
        <v>272042526</v>
      </c>
      <c r="L38">
        <v>0</v>
      </c>
      <c r="M38">
        <v>0</v>
      </c>
      <c r="N38">
        <v>0</v>
      </c>
      <c r="O38">
        <v>0</v>
      </c>
      <c r="P38">
        <v>0</v>
      </c>
      <c r="Q38">
        <v>0</v>
      </c>
      <c r="R38">
        <v>76000</v>
      </c>
      <c r="S38">
        <v>0</v>
      </c>
      <c r="T38">
        <v>0</v>
      </c>
      <c r="U38">
        <v>76000</v>
      </c>
      <c r="V38">
        <v>-76000</v>
      </c>
      <c r="X38" t="str">
        <f>VLOOKUP(Результат[[#This Row],[Тип средств]],Таблица4[],2,0)</f>
        <v>Бюджетные средства (Бюджет муниципального образования)</v>
      </c>
      <c r="Y38" t="str">
        <f>VLOOKUP(Результат[[#This Row],[Тип средств]],Таблица4[],3,0)</f>
        <v>Местный бюджет</v>
      </c>
      <c r="Z38" t="str">
        <f>IF(LEFT(Результат[[#This Row],[ЦСР]],2)="06",VLOOKUP(Результат[[#This Row],[ЦСР]],Таблица3[[ЦСР]:[Пункт подпрограммы]],4,0),"")</f>
        <v>1.1.2</v>
      </c>
      <c r="AA3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37" t="str">
        <f t="shared" si="0"/>
        <v>КФКиС</v>
      </c>
    </row>
    <row r="39" spans="1:29" x14ac:dyDescent="0.25">
      <c r="A39" t="s">
        <v>22</v>
      </c>
      <c r="B39">
        <v>709</v>
      </c>
      <c r="C39" t="s">
        <v>38</v>
      </c>
      <c r="D39">
        <v>244</v>
      </c>
      <c r="E39">
        <v>400010</v>
      </c>
      <c r="F39">
        <v>349</v>
      </c>
      <c r="G39">
        <v>349001</v>
      </c>
      <c r="J39">
        <v>120</v>
      </c>
      <c r="K39">
        <v>272042526</v>
      </c>
      <c r="L39">
        <v>0</v>
      </c>
      <c r="M39">
        <v>0</v>
      </c>
      <c r="N39">
        <v>0</v>
      </c>
      <c r="O39">
        <v>0</v>
      </c>
      <c r="P39">
        <v>0</v>
      </c>
      <c r="Q39">
        <v>0</v>
      </c>
      <c r="R39">
        <v>45980</v>
      </c>
      <c r="S39">
        <v>21020</v>
      </c>
      <c r="T39">
        <v>0</v>
      </c>
      <c r="U39">
        <v>67000</v>
      </c>
      <c r="V39">
        <v>-67000</v>
      </c>
      <c r="X39" t="str">
        <f>VLOOKUP(Результат[[#This Row],[Тип средств]],Таблица4[],2,0)</f>
        <v>Бюджетные средства (Бюджет муниципального образования)</v>
      </c>
      <c r="Y39" t="str">
        <f>VLOOKUP(Результат[[#This Row],[Тип средств]],Таблица4[],3,0)</f>
        <v>Местный бюджет</v>
      </c>
      <c r="Z39" t="str">
        <f>IF(LEFT(Результат[[#This Row],[ЦСР]],2)="06",VLOOKUP(Результат[[#This Row],[ЦСР]],Таблица3[[ЦСР]:[Пункт подпрограммы]],4,0),"")</f>
        <v>1.1.2</v>
      </c>
      <c r="AA3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37" t="str">
        <f t="shared" si="0"/>
        <v>КФКиС</v>
      </c>
    </row>
    <row r="40" spans="1:29" x14ac:dyDescent="0.25">
      <c r="A40" t="s">
        <v>22</v>
      </c>
      <c r="B40">
        <v>709</v>
      </c>
      <c r="C40" t="s">
        <v>38</v>
      </c>
      <c r="D40">
        <v>244</v>
      </c>
      <c r="E40">
        <v>400010</v>
      </c>
      <c r="F40">
        <v>349</v>
      </c>
      <c r="G40">
        <v>349007</v>
      </c>
      <c r="J40">
        <v>120</v>
      </c>
      <c r="K40">
        <v>272042526</v>
      </c>
      <c r="L40">
        <v>0</v>
      </c>
      <c r="M40">
        <v>0</v>
      </c>
      <c r="N40">
        <v>0</v>
      </c>
      <c r="O40">
        <v>0</v>
      </c>
      <c r="P40">
        <v>0</v>
      </c>
      <c r="Q40">
        <v>0</v>
      </c>
      <c r="R40">
        <v>171800</v>
      </c>
      <c r="S40">
        <v>0</v>
      </c>
      <c r="T40">
        <v>0</v>
      </c>
      <c r="U40">
        <v>171800</v>
      </c>
      <c r="V40">
        <v>-171800</v>
      </c>
      <c r="X40" t="str">
        <f>VLOOKUP(Результат[[#This Row],[Тип средств]],Таблица4[],2,0)</f>
        <v>Бюджетные средства (Бюджет муниципального образования)</v>
      </c>
      <c r="Y40" t="str">
        <f>VLOOKUP(Результат[[#This Row],[Тип средств]],Таблица4[],3,0)</f>
        <v>Местный бюджет</v>
      </c>
      <c r="Z40" t="str">
        <f>IF(LEFT(Результат[[#This Row],[ЦСР]],2)="06",VLOOKUP(Результат[[#This Row],[ЦСР]],Таблица3[[ЦСР]:[Пункт подпрограммы]],4,0),"")</f>
        <v>1.1.2</v>
      </c>
      <c r="AA4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37" t="str">
        <f t="shared" si="0"/>
        <v>КФКиС</v>
      </c>
    </row>
    <row r="41" spans="1:29" x14ac:dyDescent="0.25">
      <c r="A41" t="s">
        <v>22</v>
      </c>
      <c r="B41">
        <v>709</v>
      </c>
      <c r="C41" t="s">
        <v>39</v>
      </c>
      <c r="D41">
        <v>244</v>
      </c>
      <c r="E41">
        <v>400010</v>
      </c>
      <c r="F41">
        <v>226</v>
      </c>
      <c r="G41">
        <v>226003</v>
      </c>
      <c r="J41">
        <v>120</v>
      </c>
      <c r="K41">
        <v>272042526</v>
      </c>
      <c r="L41">
        <v>0</v>
      </c>
      <c r="M41">
        <v>0</v>
      </c>
      <c r="N41">
        <v>0</v>
      </c>
      <c r="O41">
        <v>0</v>
      </c>
      <c r="P41">
        <v>0</v>
      </c>
      <c r="Q41">
        <v>0</v>
      </c>
      <c r="R41">
        <v>0</v>
      </c>
      <c r="S41">
        <v>642062</v>
      </c>
      <c r="T41">
        <v>151792</v>
      </c>
      <c r="U41">
        <v>793854</v>
      </c>
      <c r="V41">
        <v>-793854</v>
      </c>
      <c r="X41" t="str">
        <f>VLOOKUP(Результат[[#This Row],[Тип средств]],Таблица4[],2,0)</f>
        <v>Бюджетные средства (Бюджет муниципального образования)</v>
      </c>
      <c r="Y41" t="str">
        <f>VLOOKUP(Результат[[#This Row],[Тип средств]],Таблица4[],3,0)</f>
        <v>Местный бюджет</v>
      </c>
      <c r="Z41" t="str">
        <f>IF(LEFT(Результат[[#This Row],[ЦСР]],2)="06",VLOOKUP(Результат[[#This Row],[ЦСР]],Таблица3[[ЦСР]:[Пункт подпрограммы]],4,0),"")</f>
        <v>1.1.3</v>
      </c>
      <c r="AA4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37" t="str">
        <f t="shared" si="0"/>
        <v>КФКиС</v>
      </c>
    </row>
    <row r="42" spans="1:29" x14ac:dyDescent="0.25">
      <c r="A42" t="s">
        <v>22</v>
      </c>
      <c r="B42">
        <v>1101</v>
      </c>
      <c r="C42" t="s">
        <v>40</v>
      </c>
      <c r="D42">
        <v>611</v>
      </c>
      <c r="E42">
        <v>400010</v>
      </c>
      <c r="F42">
        <v>241</v>
      </c>
      <c r="G42">
        <v>211001</v>
      </c>
      <c r="H42" t="s">
        <v>29</v>
      </c>
      <c r="J42">
        <v>910</v>
      </c>
      <c r="K42">
        <v>272042534</v>
      </c>
      <c r="L42">
        <v>0</v>
      </c>
      <c r="M42">
        <v>0</v>
      </c>
      <c r="N42">
        <v>0</v>
      </c>
      <c r="O42">
        <v>3016096.98</v>
      </c>
      <c r="P42">
        <v>-3016096.98</v>
      </c>
      <c r="Q42">
        <v>15000000</v>
      </c>
      <c r="R42">
        <v>22300000</v>
      </c>
      <c r="S42">
        <v>17000000</v>
      </c>
      <c r="T42">
        <v>26517100</v>
      </c>
      <c r="U42">
        <v>80817100</v>
      </c>
      <c r="V42">
        <v>-80817100</v>
      </c>
      <c r="X42" t="str">
        <f>VLOOKUP(Результат[[#This Row],[Тип средств]],Таблица4[],2,0)</f>
        <v>Бюджетные средства (Бюджет муниципального образования)</v>
      </c>
      <c r="Y42" t="str">
        <f>VLOOKUP(Результат[[#This Row],[Тип средств]],Таблица4[],3,0)</f>
        <v>Местный бюджет</v>
      </c>
      <c r="Z42" t="str">
        <f>IF(LEFT(Результат[[#This Row],[ЦСР]],2)="06",VLOOKUP(Результат[[#This Row],[ЦСР]],Таблица3[[ЦСР]:[Пункт подпрограммы]],4,0),"")</f>
        <v>1.1.4</v>
      </c>
      <c r="AA4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37" t="str">
        <f t="shared" si="0"/>
        <v>КФКиС</v>
      </c>
    </row>
    <row r="43" spans="1:29" x14ac:dyDescent="0.25">
      <c r="A43" t="s">
        <v>22</v>
      </c>
      <c r="B43">
        <v>1101</v>
      </c>
      <c r="C43" t="s">
        <v>40</v>
      </c>
      <c r="D43">
        <v>611</v>
      </c>
      <c r="E43">
        <v>400010</v>
      </c>
      <c r="F43">
        <v>241</v>
      </c>
      <c r="G43">
        <v>211001</v>
      </c>
      <c r="H43" t="s">
        <v>31</v>
      </c>
      <c r="J43">
        <v>910</v>
      </c>
      <c r="K43">
        <v>272042534</v>
      </c>
      <c r="L43">
        <v>0</v>
      </c>
      <c r="M43">
        <v>0</v>
      </c>
      <c r="N43">
        <v>0</v>
      </c>
      <c r="O43">
        <v>701500</v>
      </c>
      <c r="P43">
        <v>-701500</v>
      </c>
      <c r="Q43">
        <v>7485900</v>
      </c>
      <c r="R43">
        <v>12000000</v>
      </c>
      <c r="S43">
        <v>8000000</v>
      </c>
      <c r="T43">
        <v>12000000</v>
      </c>
      <c r="U43">
        <v>39485900</v>
      </c>
      <c r="V43">
        <v>-39485900</v>
      </c>
      <c r="X43" t="str">
        <f>VLOOKUP(Результат[[#This Row],[Тип средств]],Таблица4[],2,0)</f>
        <v>Бюджетные средства (Бюджет муниципального образования)</v>
      </c>
      <c r="Y43" t="str">
        <f>VLOOKUP(Результат[[#This Row],[Тип средств]],Таблица4[],3,0)</f>
        <v>Местный бюджет</v>
      </c>
      <c r="Z43" t="str">
        <f>IF(LEFT(Результат[[#This Row],[ЦСР]],2)="06",VLOOKUP(Результат[[#This Row],[ЦСР]],Таблица3[[ЦСР]:[Пункт подпрограммы]],4,0),"")</f>
        <v>1.1.4</v>
      </c>
      <c r="AA4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37" t="str">
        <f t="shared" si="0"/>
        <v>КФКиС</v>
      </c>
    </row>
    <row r="44" spans="1:29" x14ac:dyDescent="0.25">
      <c r="A44" t="s">
        <v>22</v>
      </c>
      <c r="B44">
        <v>1101</v>
      </c>
      <c r="C44" t="s">
        <v>40</v>
      </c>
      <c r="D44">
        <v>611</v>
      </c>
      <c r="E44">
        <v>400010</v>
      </c>
      <c r="F44">
        <v>241</v>
      </c>
      <c r="G44">
        <v>211001</v>
      </c>
      <c r="H44" t="s">
        <v>24</v>
      </c>
      <c r="J44">
        <v>910</v>
      </c>
      <c r="K44">
        <v>272042534</v>
      </c>
      <c r="L44">
        <v>0</v>
      </c>
      <c r="M44">
        <v>0</v>
      </c>
      <c r="N44">
        <v>0</v>
      </c>
      <c r="O44">
        <v>1248073.06</v>
      </c>
      <c r="P44">
        <v>-1248073.06</v>
      </c>
      <c r="Q44">
        <v>13000000</v>
      </c>
      <c r="R44">
        <v>17000000</v>
      </c>
      <c r="S44">
        <v>15000000</v>
      </c>
      <c r="T44">
        <v>15637200</v>
      </c>
      <c r="U44">
        <v>60637200</v>
      </c>
      <c r="V44">
        <v>-60637200</v>
      </c>
      <c r="X44" t="str">
        <f>VLOOKUP(Результат[[#This Row],[Тип средств]],Таблица4[],2,0)</f>
        <v>Бюджетные средства (Бюджет муниципального образования)</v>
      </c>
      <c r="Y44" t="str">
        <f>VLOOKUP(Результат[[#This Row],[Тип средств]],Таблица4[],3,0)</f>
        <v>Местный бюджет</v>
      </c>
      <c r="Z44" t="str">
        <f>IF(LEFT(Результат[[#This Row],[ЦСР]],2)="06",VLOOKUP(Результат[[#This Row],[ЦСР]],Таблица3[[ЦСР]:[Пункт подпрограммы]],4,0),"")</f>
        <v>1.1.4</v>
      </c>
      <c r="AA4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37" t="str">
        <f t="shared" si="0"/>
        <v>КФКиС</v>
      </c>
    </row>
    <row r="45" spans="1:29" x14ac:dyDescent="0.25">
      <c r="A45" t="s">
        <v>22</v>
      </c>
      <c r="B45">
        <v>1101</v>
      </c>
      <c r="C45" t="s">
        <v>40</v>
      </c>
      <c r="D45">
        <v>611</v>
      </c>
      <c r="E45">
        <v>400010</v>
      </c>
      <c r="F45">
        <v>241</v>
      </c>
      <c r="G45">
        <v>211001</v>
      </c>
      <c r="H45" t="s">
        <v>32</v>
      </c>
      <c r="J45">
        <v>910</v>
      </c>
      <c r="K45">
        <v>272042534</v>
      </c>
      <c r="L45">
        <v>0</v>
      </c>
      <c r="M45">
        <v>0</v>
      </c>
      <c r="N45">
        <v>0</v>
      </c>
      <c r="O45">
        <v>2770021.66</v>
      </c>
      <c r="P45">
        <v>-2770021.66</v>
      </c>
      <c r="Q45">
        <v>16981800</v>
      </c>
      <c r="R45">
        <v>25472700</v>
      </c>
      <c r="S45">
        <v>25472700</v>
      </c>
      <c r="T45">
        <v>16981800</v>
      </c>
      <c r="U45">
        <v>84909000</v>
      </c>
      <c r="V45">
        <v>-84909000</v>
      </c>
      <c r="X45" t="str">
        <f>VLOOKUP(Результат[[#This Row],[Тип средств]],Таблица4[],2,0)</f>
        <v>Бюджетные средства (Бюджет муниципального образования)</v>
      </c>
      <c r="Y45" t="str">
        <f>VLOOKUP(Результат[[#This Row],[Тип средств]],Таблица4[],3,0)</f>
        <v>Местный бюджет</v>
      </c>
      <c r="Z45" t="str">
        <f>IF(LEFT(Результат[[#This Row],[ЦСР]],2)="06",VLOOKUP(Результат[[#This Row],[ЦСР]],Таблица3[[ЦСР]:[Пункт подпрограммы]],4,0),"")</f>
        <v>1.1.4</v>
      </c>
      <c r="AA4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37" t="str">
        <f t="shared" si="0"/>
        <v>КФКиС</v>
      </c>
    </row>
    <row r="46" spans="1:29" x14ac:dyDescent="0.25">
      <c r="A46" t="s">
        <v>22</v>
      </c>
      <c r="B46">
        <v>1101</v>
      </c>
      <c r="C46" t="s">
        <v>40</v>
      </c>
      <c r="D46">
        <v>611</v>
      </c>
      <c r="E46">
        <v>400010</v>
      </c>
      <c r="F46">
        <v>241</v>
      </c>
      <c r="G46">
        <v>211002</v>
      </c>
      <c r="H46" t="s">
        <v>29</v>
      </c>
      <c r="J46">
        <v>910</v>
      </c>
      <c r="K46">
        <v>272042534</v>
      </c>
      <c r="L46">
        <v>0</v>
      </c>
      <c r="M46">
        <v>0</v>
      </c>
      <c r="N46">
        <v>0</v>
      </c>
      <c r="O46">
        <v>0</v>
      </c>
      <c r="P46">
        <v>0</v>
      </c>
      <c r="Q46">
        <v>5000</v>
      </c>
      <c r="R46">
        <v>10000</v>
      </c>
      <c r="S46">
        <v>5000</v>
      </c>
      <c r="T46">
        <v>511700</v>
      </c>
      <c r="U46">
        <v>531700</v>
      </c>
      <c r="V46">
        <v>-531700</v>
      </c>
      <c r="X46" t="str">
        <f>VLOOKUP(Результат[[#This Row],[Тип средств]],Таблица4[],2,0)</f>
        <v>Бюджетные средства (Бюджет муниципального образования)</v>
      </c>
      <c r="Y46" t="str">
        <f>VLOOKUP(Результат[[#This Row],[Тип средств]],Таблица4[],3,0)</f>
        <v>Местный бюджет</v>
      </c>
      <c r="Z46" t="str">
        <f>IF(LEFT(Результат[[#This Row],[ЦСР]],2)="06",VLOOKUP(Результат[[#This Row],[ЦСР]],Таблица3[[ЦСР]:[Пункт подпрограммы]],4,0),"")</f>
        <v>1.1.4</v>
      </c>
      <c r="AA4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37" t="str">
        <f t="shared" si="0"/>
        <v>КФКиС</v>
      </c>
    </row>
    <row r="47" spans="1:29" x14ac:dyDescent="0.25">
      <c r="A47" t="s">
        <v>22</v>
      </c>
      <c r="B47">
        <v>1101</v>
      </c>
      <c r="C47" t="s">
        <v>40</v>
      </c>
      <c r="D47">
        <v>611</v>
      </c>
      <c r="E47">
        <v>400010</v>
      </c>
      <c r="F47">
        <v>241</v>
      </c>
      <c r="G47">
        <v>211002</v>
      </c>
      <c r="H47" t="s">
        <v>31</v>
      </c>
      <c r="J47">
        <v>910</v>
      </c>
      <c r="K47">
        <v>272042534</v>
      </c>
      <c r="L47">
        <v>0</v>
      </c>
      <c r="M47">
        <v>0</v>
      </c>
      <c r="N47">
        <v>0</v>
      </c>
      <c r="O47">
        <v>0</v>
      </c>
      <c r="P47">
        <v>0</v>
      </c>
      <c r="Q47">
        <v>0</v>
      </c>
      <c r="R47">
        <v>10000</v>
      </c>
      <c r="S47">
        <v>10000</v>
      </c>
      <c r="T47">
        <v>143700</v>
      </c>
      <c r="U47">
        <v>163700</v>
      </c>
      <c r="V47">
        <v>-163700</v>
      </c>
      <c r="X47" t="str">
        <f>VLOOKUP(Результат[[#This Row],[Тип средств]],Таблица4[],2,0)</f>
        <v>Бюджетные средства (Бюджет муниципального образования)</v>
      </c>
      <c r="Y47" t="str">
        <f>VLOOKUP(Результат[[#This Row],[Тип средств]],Таблица4[],3,0)</f>
        <v>Местный бюджет</v>
      </c>
      <c r="Z47" t="str">
        <f>IF(LEFT(Результат[[#This Row],[ЦСР]],2)="06",VLOOKUP(Результат[[#This Row],[ЦСР]],Таблица3[[ЦСР]:[Пункт подпрограммы]],4,0),"")</f>
        <v>1.1.4</v>
      </c>
      <c r="AA4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37" t="str">
        <f t="shared" si="0"/>
        <v>КФКиС</v>
      </c>
    </row>
    <row r="48" spans="1:29" x14ac:dyDescent="0.25">
      <c r="A48" t="s">
        <v>22</v>
      </c>
      <c r="B48">
        <v>1101</v>
      </c>
      <c r="C48" t="s">
        <v>40</v>
      </c>
      <c r="D48">
        <v>611</v>
      </c>
      <c r="E48">
        <v>400010</v>
      </c>
      <c r="F48">
        <v>241</v>
      </c>
      <c r="G48">
        <v>211002</v>
      </c>
      <c r="H48" t="s">
        <v>24</v>
      </c>
      <c r="J48">
        <v>910</v>
      </c>
      <c r="K48">
        <v>272042534</v>
      </c>
      <c r="L48">
        <v>0</v>
      </c>
      <c r="M48">
        <v>0</v>
      </c>
      <c r="N48">
        <v>0</v>
      </c>
      <c r="O48">
        <v>0</v>
      </c>
      <c r="P48">
        <v>0</v>
      </c>
      <c r="Q48">
        <v>130000</v>
      </c>
      <c r="R48">
        <v>130000</v>
      </c>
      <c r="S48">
        <v>130000</v>
      </c>
      <c r="T48">
        <v>92800</v>
      </c>
      <c r="U48">
        <v>482800</v>
      </c>
      <c r="V48">
        <v>-482800</v>
      </c>
      <c r="X48" t="str">
        <f>VLOOKUP(Результат[[#This Row],[Тип средств]],Таблица4[],2,0)</f>
        <v>Бюджетные средства (Бюджет муниципального образования)</v>
      </c>
      <c r="Y48" t="str">
        <f>VLOOKUP(Результат[[#This Row],[Тип средств]],Таблица4[],3,0)</f>
        <v>Местный бюджет</v>
      </c>
      <c r="Z48" t="str">
        <f>IF(LEFT(Результат[[#This Row],[ЦСР]],2)="06",VLOOKUP(Результат[[#This Row],[ЦСР]],Таблица3[[ЦСР]:[Пункт подпрограммы]],4,0),"")</f>
        <v>1.1.4</v>
      </c>
      <c r="AA4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37" t="str">
        <f t="shared" si="0"/>
        <v>КФКиС</v>
      </c>
    </row>
    <row r="49" spans="1:29" x14ac:dyDescent="0.25">
      <c r="A49" t="s">
        <v>22</v>
      </c>
      <c r="B49">
        <v>1101</v>
      </c>
      <c r="C49" t="s">
        <v>40</v>
      </c>
      <c r="D49">
        <v>611</v>
      </c>
      <c r="E49">
        <v>400010</v>
      </c>
      <c r="F49">
        <v>241</v>
      </c>
      <c r="G49">
        <v>211002</v>
      </c>
      <c r="H49" t="s">
        <v>32</v>
      </c>
      <c r="J49">
        <v>910</v>
      </c>
      <c r="K49">
        <v>272042534</v>
      </c>
      <c r="L49">
        <v>0</v>
      </c>
      <c r="M49">
        <v>0</v>
      </c>
      <c r="N49">
        <v>0</v>
      </c>
      <c r="O49">
        <v>10000</v>
      </c>
      <c r="P49">
        <v>-10000</v>
      </c>
      <c r="Q49">
        <v>64520</v>
      </c>
      <c r="R49">
        <v>96780</v>
      </c>
      <c r="S49">
        <v>96780</v>
      </c>
      <c r="T49">
        <v>64520</v>
      </c>
      <c r="U49">
        <v>322600</v>
      </c>
      <c r="V49">
        <v>-322600</v>
      </c>
      <c r="X49" t="str">
        <f>VLOOKUP(Результат[[#This Row],[Тип средств]],Таблица4[],2,0)</f>
        <v>Бюджетные средства (Бюджет муниципального образования)</v>
      </c>
      <c r="Y49" t="str">
        <f>VLOOKUP(Результат[[#This Row],[Тип средств]],Таблица4[],3,0)</f>
        <v>Местный бюджет</v>
      </c>
      <c r="Z49" t="str">
        <f>IF(LEFT(Результат[[#This Row],[ЦСР]],2)="06",VLOOKUP(Результат[[#This Row],[ЦСР]],Таблица3[[ЦСР]:[Пункт подпрограммы]],4,0),"")</f>
        <v>1.1.4</v>
      </c>
      <c r="AA4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37" t="str">
        <f t="shared" si="0"/>
        <v>КФКиС</v>
      </c>
    </row>
    <row r="50" spans="1:29" x14ac:dyDescent="0.25">
      <c r="A50" t="s">
        <v>22</v>
      </c>
      <c r="B50">
        <v>1101</v>
      </c>
      <c r="C50" t="s">
        <v>40</v>
      </c>
      <c r="D50">
        <v>611</v>
      </c>
      <c r="E50">
        <v>400010</v>
      </c>
      <c r="F50">
        <v>241</v>
      </c>
      <c r="G50">
        <v>212001</v>
      </c>
      <c r="H50" t="s">
        <v>32</v>
      </c>
      <c r="J50">
        <v>910</v>
      </c>
      <c r="K50">
        <v>272042534</v>
      </c>
      <c r="L50">
        <v>0</v>
      </c>
      <c r="M50">
        <v>0</v>
      </c>
      <c r="N50">
        <v>0</v>
      </c>
      <c r="O50">
        <v>0</v>
      </c>
      <c r="P50">
        <v>0</v>
      </c>
      <c r="Q50">
        <v>4000</v>
      </c>
      <c r="R50">
        <v>0</v>
      </c>
      <c r="S50">
        <v>0</v>
      </c>
      <c r="T50">
        <v>0</v>
      </c>
      <c r="U50">
        <v>4000</v>
      </c>
      <c r="V50">
        <v>-4000</v>
      </c>
      <c r="X50" t="str">
        <f>VLOOKUP(Результат[[#This Row],[Тип средств]],Таблица4[],2,0)</f>
        <v>Бюджетные средства (Бюджет муниципального образования)</v>
      </c>
      <c r="Y50" t="str">
        <f>VLOOKUP(Результат[[#This Row],[Тип средств]],Таблица4[],3,0)</f>
        <v>Местный бюджет</v>
      </c>
      <c r="Z50" t="str">
        <f>IF(LEFT(Результат[[#This Row],[ЦСР]],2)="06",VLOOKUP(Результат[[#This Row],[ЦСР]],Таблица3[[ЦСР]:[Пункт подпрограммы]],4,0),"")</f>
        <v>1.1.4</v>
      </c>
      <c r="AA5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37" t="str">
        <f t="shared" si="0"/>
        <v>КФКиС</v>
      </c>
    </row>
    <row r="51" spans="1:29" x14ac:dyDescent="0.25">
      <c r="A51" t="s">
        <v>22</v>
      </c>
      <c r="B51">
        <v>1101</v>
      </c>
      <c r="C51" t="s">
        <v>40</v>
      </c>
      <c r="D51">
        <v>611</v>
      </c>
      <c r="E51">
        <v>400010</v>
      </c>
      <c r="F51">
        <v>241</v>
      </c>
      <c r="G51">
        <v>212002</v>
      </c>
      <c r="H51" t="s">
        <v>29</v>
      </c>
      <c r="J51">
        <v>910</v>
      </c>
      <c r="K51">
        <v>272042535</v>
      </c>
      <c r="L51">
        <v>0</v>
      </c>
      <c r="M51">
        <v>0</v>
      </c>
      <c r="N51">
        <v>0</v>
      </c>
      <c r="O51">
        <v>11000</v>
      </c>
      <c r="P51">
        <v>-11000</v>
      </c>
      <c r="Q51">
        <v>170600</v>
      </c>
      <c r="R51">
        <v>73500</v>
      </c>
      <c r="S51">
        <v>3800</v>
      </c>
      <c r="T51">
        <v>53200</v>
      </c>
      <c r="U51">
        <v>301100</v>
      </c>
      <c r="V51">
        <v>-301100</v>
      </c>
      <c r="X51" t="str">
        <f>VLOOKUP(Результат[[#This Row],[Тип средств]],Таблица4[],2,0)</f>
        <v>Бюджетные средства (Бюджет муниципального образования)</v>
      </c>
      <c r="Y51" t="str">
        <f>VLOOKUP(Результат[[#This Row],[Тип средств]],Таблица4[],3,0)</f>
        <v>Местный бюджет</v>
      </c>
      <c r="Z51" t="str">
        <f>IF(LEFT(Результат[[#This Row],[ЦСР]],2)="06",VLOOKUP(Результат[[#This Row],[ЦСР]],Таблица3[[ЦСР]:[Пункт подпрограммы]],4,0),"")</f>
        <v>1.1.4</v>
      </c>
      <c r="AA5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37" t="str">
        <f t="shared" si="0"/>
        <v>КФКиС</v>
      </c>
    </row>
    <row r="52" spans="1:29" x14ac:dyDescent="0.25">
      <c r="A52" t="s">
        <v>22</v>
      </c>
      <c r="B52">
        <v>1101</v>
      </c>
      <c r="C52" t="s">
        <v>40</v>
      </c>
      <c r="D52">
        <v>611</v>
      </c>
      <c r="E52">
        <v>400010</v>
      </c>
      <c r="F52">
        <v>241</v>
      </c>
      <c r="G52">
        <v>212002</v>
      </c>
      <c r="H52" t="s">
        <v>31</v>
      </c>
      <c r="J52">
        <v>910</v>
      </c>
      <c r="K52">
        <v>272042535</v>
      </c>
      <c r="L52">
        <v>0</v>
      </c>
      <c r="M52">
        <v>0</v>
      </c>
      <c r="N52">
        <v>0</v>
      </c>
      <c r="O52">
        <v>10400</v>
      </c>
      <c r="P52">
        <v>-10400</v>
      </c>
      <c r="Q52">
        <v>35300</v>
      </c>
      <c r="R52">
        <v>55600</v>
      </c>
      <c r="S52">
        <v>15800</v>
      </c>
      <c r="T52">
        <v>12000</v>
      </c>
      <c r="U52">
        <v>118700</v>
      </c>
      <c r="V52">
        <v>-118700</v>
      </c>
      <c r="X52" t="str">
        <f>VLOOKUP(Результат[[#This Row],[Тип средств]],Таблица4[],2,0)</f>
        <v>Бюджетные средства (Бюджет муниципального образования)</v>
      </c>
      <c r="Y52" t="str">
        <f>VLOOKUP(Результат[[#This Row],[Тип средств]],Таблица4[],3,0)</f>
        <v>Местный бюджет</v>
      </c>
      <c r="Z52" t="str">
        <f>IF(LEFT(Результат[[#This Row],[ЦСР]],2)="06",VLOOKUP(Результат[[#This Row],[ЦСР]],Таблица3[[ЦСР]:[Пункт подпрограммы]],4,0),"")</f>
        <v>1.1.4</v>
      </c>
      <c r="AA5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37" t="str">
        <f t="shared" si="0"/>
        <v>КФКиС</v>
      </c>
    </row>
    <row r="53" spans="1:29" x14ac:dyDescent="0.25">
      <c r="A53" t="s">
        <v>22</v>
      </c>
      <c r="B53">
        <v>1101</v>
      </c>
      <c r="C53" t="s">
        <v>40</v>
      </c>
      <c r="D53">
        <v>611</v>
      </c>
      <c r="E53">
        <v>400010</v>
      </c>
      <c r="F53">
        <v>241</v>
      </c>
      <c r="G53">
        <v>212002</v>
      </c>
      <c r="H53" t="s">
        <v>24</v>
      </c>
      <c r="J53">
        <v>910</v>
      </c>
      <c r="K53">
        <v>272042535</v>
      </c>
      <c r="L53">
        <v>0</v>
      </c>
      <c r="M53">
        <v>0</v>
      </c>
      <c r="N53">
        <v>0</v>
      </c>
      <c r="O53">
        <v>62300</v>
      </c>
      <c r="P53">
        <v>-62300</v>
      </c>
      <c r="Q53">
        <v>176500</v>
      </c>
      <c r="R53">
        <v>25000</v>
      </c>
      <c r="S53">
        <v>65000</v>
      </c>
      <c r="T53">
        <v>56100</v>
      </c>
      <c r="U53">
        <v>322600</v>
      </c>
      <c r="V53">
        <v>-322600</v>
      </c>
      <c r="X53" t="str">
        <f>VLOOKUP(Результат[[#This Row],[Тип средств]],Таблица4[],2,0)</f>
        <v>Бюджетные средства (Бюджет муниципального образования)</v>
      </c>
      <c r="Y53" t="str">
        <f>VLOOKUP(Результат[[#This Row],[Тип средств]],Таблица4[],3,0)</f>
        <v>Местный бюджет</v>
      </c>
      <c r="Z53" t="str">
        <f>IF(LEFT(Результат[[#This Row],[ЦСР]],2)="06",VLOOKUP(Результат[[#This Row],[ЦСР]],Таблица3[[ЦСР]:[Пункт подпрограммы]],4,0),"")</f>
        <v>1.1.4</v>
      </c>
      <c r="AA5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37" t="str">
        <f t="shared" si="0"/>
        <v>КФКиС</v>
      </c>
    </row>
    <row r="54" spans="1:29" x14ac:dyDescent="0.25">
      <c r="A54" t="s">
        <v>22</v>
      </c>
      <c r="B54">
        <v>1101</v>
      </c>
      <c r="C54" t="s">
        <v>40</v>
      </c>
      <c r="D54">
        <v>611</v>
      </c>
      <c r="E54">
        <v>400010</v>
      </c>
      <c r="F54">
        <v>241</v>
      </c>
      <c r="G54">
        <v>212002</v>
      </c>
      <c r="H54" t="s">
        <v>32</v>
      </c>
      <c r="J54">
        <v>910</v>
      </c>
      <c r="K54">
        <v>272042535</v>
      </c>
      <c r="L54">
        <v>0</v>
      </c>
      <c r="M54">
        <v>0</v>
      </c>
      <c r="N54">
        <v>0</v>
      </c>
      <c r="O54">
        <v>1800</v>
      </c>
      <c r="P54">
        <v>-1800</v>
      </c>
      <c r="Q54">
        <v>90600</v>
      </c>
      <c r="R54">
        <v>87000</v>
      </c>
      <c r="S54">
        <v>84400</v>
      </c>
      <c r="T54">
        <v>6600</v>
      </c>
      <c r="U54">
        <v>268600</v>
      </c>
      <c r="V54">
        <v>-268600</v>
      </c>
      <c r="X54" t="str">
        <f>VLOOKUP(Результат[[#This Row],[Тип средств]],Таблица4[],2,0)</f>
        <v>Бюджетные средства (Бюджет муниципального образования)</v>
      </c>
      <c r="Y54" t="str">
        <f>VLOOKUP(Результат[[#This Row],[Тип средств]],Таблица4[],3,0)</f>
        <v>Местный бюджет</v>
      </c>
      <c r="Z54" t="str">
        <f>IF(LEFT(Результат[[#This Row],[ЦСР]],2)="06",VLOOKUP(Результат[[#This Row],[ЦСР]],Таблица3[[ЦСР]:[Пункт подпрограммы]],4,0),"")</f>
        <v>1.1.4</v>
      </c>
      <c r="AA5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37" t="str">
        <f t="shared" si="0"/>
        <v>КФКиС</v>
      </c>
    </row>
    <row r="55" spans="1:29" x14ac:dyDescent="0.25">
      <c r="A55" t="s">
        <v>22</v>
      </c>
      <c r="B55">
        <v>1101</v>
      </c>
      <c r="C55" t="s">
        <v>40</v>
      </c>
      <c r="D55">
        <v>611</v>
      </c>
      <c r="E55">
        <v>400010</v>
      </c>
      <c r="F55">
        <v>241</v>
      </c>
      <c r="G55">
        <v>213001</v>
      </c>
      <c r="H55" t="s">
        <v>29</v>
      </c>
      <c r="J55">
        <v>910</v>
      </c>
      <c r="K55">
        <v>272042534</v>
      </c>
      <c r="L55">
        <v>0</v>
      </c>
      <c r="M55">
        <v>0</v>
      </c>
      <c r="N55">
        <v>0</v>
      </c>
      <c r="O55">
        <v>0</v>
      </c>
      <c r="P55">
        <v>0</v>
      </c>
      <c r="Q55">
        <v>4530000</v>
      </c>
      <c r="R55">
        <v>6734600</v>
      </c>
      <c r="S55">
        <v>5134000</v>
      </c>
      <c r="T55">
        <v>8008200</v>
      </c>
      <c r="U55">
        <v>24406800</v>
      </c>
      <c r="V55">
        <v>-24406800</v>
      </c>
      <c r="X55" t="str">
        <f>VLOOKUP(Результат[[#This Row],[Тип средств]],Таблица4[],2,0)</f>
        <v>Бюджетные средства (Бюджет муниципального образования)</v>
      </c>
      <c r="Y55" t="str">
        <f>VLOOKUP(Результат[[#This Row],[Тип средств]],Таблица4[],3,0)</f>
        <v>Местный бюджет</v>
      </c>
      <c r="Z55" t="str">
        <f>IF(LEFT(Результат[[#This Row],[ЦСР]],2)="06",VLOOKUP(Результат[[#This Row],[ЦСР]],Таблица3[[ЦСР]:[Пункт подпрограммы]],4,0),"")</f>
        <v>1.1.4</v>
      </c>
      <c r="AA5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37" t="str">
        <f t="shared" si="0"/>
        <v>КФКиС</v>
      </c>
    </row>
    <row r="56" spans="1:29" x14ac:dyDescent="0.25">
      <c r="A56" t="s">
        <v>22</v>
      </c>
      <c r="B56">
        <v>1101</v>
      </c>
      <c r="C56" t="s">
        <v>40</v>
      </c>
      <c r="D56">
        <v>611</v>
      </c>
      <c r="E56">
        <v>400010</v>
      </c>
      <c r="F56">
        <v>241</v>
      </c>
      <c r="G56">
        <v>213001</v>
      </c>
      <c r="H56" t="s">
        <v>31</v>
      </c>
      <c r="J56">
        <v>910</v>
      </c>
      <c r="K56">
        <v>272042534</v>
      </c>
      <c r="L56">
        <v>0</v>
      </c>
      <c r="M56">
        <v>0</v>
      </c>
      <c r="N56">
        <v>0</v>
      </c>
      <c r="O56">
        <v>0</v>
      </c>
      <c r="P56">
        <v>0</v>
      </c>
      <c r="Q56">
        <v>2260700</v>
      </c>
      <c r="R56">
        <v>3624000</v>
      </c>
      <c r="S56">
        <v>2416000</v>
      </c>
      <c r="T56">
        <v>3624000</v>
      </c>
      <c r="U56">
        <v>11924700</v>
      </c>
      <c r="V56">
        <v>-11924700</v>
      </c>
      <c r="X56" t="str">
        <f>VLOOKUP(Результат[[#This Row],[Тип средств]],Таблица4[],2,0)</f>
        <v>Бюджетные средства (Бюджет муниципального образования)</v>
      </c>
      <c r="Y56" t="str">
        <f>VLOOKUP(Результат[[#This Row],[Тип средств]],Таблица4[],3,0)</f>
        <v>Местный бюджет</v>
      </c>
      <c r="Z56" t="str">
        <f>IF(LEFT(Результат[[#This Row],[ЦСР]],2)="06",VLOOKUP(Результат[[#This Row],[ЦСР]],Таблица3[[ЦСР]:[Пункт подпрограммы]],4,0),"")</f>
        <v>1.1.4</v>
      </c>
      <c r="AA5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37" t="str">
        <f t="shared" si="0"/>
        <v>КФКиС</v>
      </c>
    </row>
    <row r="57" spans="1:29" x14ac:dyDescent="0.25">
      <c r="A57" t="s">
        <v>22</v>
      </c>
      <c r="B57">
        <v>1101</v>
      </c>
      <c r="C57" t="s">
        <v>40</v>
      </c>
      <c r="D57">
        <v>611</v>
      </c>
      <c r="E57">
        <v>400010</v>
      </c>
      <c r="F57">
        <v>241</v>
      </c>
      <c r="G57">
        <v>213001</v>
      </c>
      <c r="H57" t="s">
        <v>24</v>
      </c>
      <c r="J57">
        <v>910</v>
      </c>
      <c r="K57">
        <v>272042534</v>
      </c>
      <c r="L57">
        <v>0</v>
      </c>
      <c r="M57">
        <v>0</v>
      </c>
      <c r="N57">
        <v>0</v>
      </c>
      <c r="O57">
        <v>0</v>
      </c>
      <c r="P57">
        <v>0</v>
      </c>
      <c r="Q57">
        <v>4500000</v>
      </c>
      <c r="R57">
        <v>5134000</v>
      </c>
      <c r="S57">
        <v>4530000</v>
      </c>
      <c r="T57">
        <v>4148400</v>
      </c>
      <c r="U57">
        <v>18312400</v>
      </c>
      <c r="V57">
        <v>-18312400</v>
      </c>
      <c r="X57" t="str">
        <f>VLOOKUP(Результат[[#This Row],[Тип средств]],Таблица4[],2,0)</f>
        <v>Бюджетные средства (Бюджет муниципального образования)</v>
      </c>
      <c r="Y57" t="str">
        <f>VLOOKUP(Результат[[#This Row],[Тип средств]],Таблица4[],3,0)</f>
        <v>Местный бюджет</v>
      </c>
      <c r="Z57" t="str">
        <f>IF(LEFT(Результат[[#This Row],[ЦСР]],2)="06",VLOOKUP(Результат[[#This Row],[ЦСР]],Таблица3[[ЦСР]:[Пункт подпрограммы]],4,0),"")</f>
        <v>1.1.4</v>
      </c>
      <c r="AA5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37" t="str">
        <f t="shared" si="0"/>
        <v>КФКиС</v>
      </c>
    </row>
    <row r="58" spans="1:29" x14ac:dyDescent="0.25">
      <c r="A58" t="s">
        <v>22</v>
      </c>
      <c r="B58">
        <v>1101</v>
      </c>
      <c r="C58" t="s">
        <v>40</v>
      </c>
      <c r="D58">
        <v>611</v>
      </c>
      <c r="E58">
        <v>400010</v>
      </c>
      <c r="F58">
        <v>241</v>
      </c>
      <c r="G58">
        <v>213001</v>
      </c>
      <c r="H58" t="s">
        <v>32</v>
      </c>
      <c r="J58">
        <v>910</v>
      </c>
      <c r="K58">
        <v>272042534</v>
      </c>
      <c r="L58">
        <v>0</v>
      </c>
      <c r="M58">
        <v>0</v>
      </c>
      <c r="N58">
        <v>0</v>
      </c>
      <c r="O58">
        <v>0</v>
      </c>
      <c r="P58">
        <v>0</v>
      </c>
      <c r="Q58">
        <v>5128500</v>
      </c>
      <c r="R58">
        <v>7692750</v>
      </c>
      <c r="S58">
        <v>7692750</v>
      </c>
      <c r="T58">
        <v>5128500</v>
      </c>
      <c r="U58">
        <v>25642500</v>
      </c>
      <c r="V58">
        <v>-25642500</v>
      </c>
      <c r="X58" t="str">
        <f>VLOOKUP(Результат[[#This Row],[Тип средств]],Таблица4[],2,0)</f>
        <v>Бюджетные средства (Бюджет муниципального образования)</v>
      </c>
      <c r="Y58" t="str">
        <f>VLOOKUP(Результат[[#This Row],[Тип средств]],Таблица4[],3,0)</f>
        <v>Местный бюджет</v>
      </c>
      <c r="Z58" t="str">
        <f>IF(LEFT(Результат[[#This Row],[ЦСР]],2)="06",VLOOKUP(Результат[[#This Row],[ЦСР]],Таблица3[[ЦСР]:[Пункт подпрограммы]],4,0),"")</f>
        <v>1.1.4</v>
      </c>
      <c r="AA5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37" t="str">
        <f t="shared" si="0"/>
        <v>КФКиС</v>
      </c>
    </row>
    <row r="59" spans="1:29" x14ac:dyDescent="0.25">
      <c r="A59" t="s">
        <v>22</v>
      </c>
      <c r="B59">
        <v>1101</v>
      </c>
      <c r="C59" t="s">
        <v>40</v>
      </c>
      <c r="D59">
        <v>611</v>
      </c>
      <c r="E59">
        <v>400010</v>
      </c>
      <c r="F59">
        <v>241</v>
      </c>
      <c r="G59">
        <v>213002</v>
      </c>
      <c r="H59" t="s">
        <v>29</v>
      </c>
      <c r="J59">
        <v>910</v>
      </c>
      <c r="K59">
        <v>272042621</v>
      </c>
      <c r="L59">
        <v>0</v>
      </c>
      <c r="M59">
        <v>0</v>
      </c>
      <c r="N59">
        <v>0</v>
      </c>
      <c r="O59">
        <v>0</v>
      </c>
      <c r="P59">
        <v>0</v>
      </c>
      <c r="Q59">
        <v>1600</v>
      </c>
      <c r="R59">
        <v>3000</v>
      </c>
      <c r="S59">
        <v>1500</v>
      </c>
      <c r="T59">
        <v>154500</v>
      </c>
      <c r="U59">
        <v>160600</v>
      </c>
      <c r="V59">
        <v>-160600</v>
      </c>
      <c r="X59" t="str">
        <f>VLOOKUP(Результат[[#This Row],[Тип средств]],Таблица4[],2,0)</f>
        <v>Бюджетные средства (Бюджет муниципального образования)</v>
      </c>
      <c r="Y59" t="str">
        <f>VLOOKUP(Результат[[#This Row],[Тип средств]],Таблица4[],3,0)</f>
        <v>Местный бюджет</v>
      </c>
      <c r="Z59" t="str">
        <f>IF(LEFT(Результат[[#This Row],[ЦСР]],2)="06",VLOOKUP(Результат[[#This Row],[ЦСР]],Таблица3[[ЦСР]:[Пункт подпрограммы]],4,0),"")</f>
        <v>1.1.4</v>
      </c>
      <c r="AA5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37" t="str">
        <f t="shared" si="0"/>
        <v>КФКиС</v>
      </c>
    </row>
    <row r="60" spans="1:29" x14ac:dyDescent="0.25">
      <c r="A60" t="s">
        <v>22</v>
      </c>
      <c r="B60">
        <v>1101</v>
      </c>
      <c r="C60" t="s">
        <v>40</v>
      </c>
      <c r="D60">
        <v>611</v>
      </c>
      <c r="E60">
        <v>400010</v>
      </c>
      <c r="F60">
        <v>241</v>
      </c>
      <c r="G60">
        <v>213002</v>
      </c>
      <c r="H60" t="s">
        <v>31</v>
      </c>
      <c r="J60">
        <v>910</v>
      </c>
      <c r="K60">
        <v>272042621</v>
      </c>
      <c r="L60">
        <v>0</v>
      </c>
      <c r="M60">
        <v>0</v>
      </c>
      <c r="N60">
        <v>0</v>
      </c>
      <c r="O60">
        <v>0</v>
      </c>
      <c r="P60">
        <v>0</v>
      </c>
      <c r="Q60">
        <v>0</v>
      </c>
      <c r="R60">
        <v>3020</v>
      </c>
      <c r="S60">
        <v>3020</v>
      </c>
      <c r="T60">
        <v>43360</v>
      </c>
      <c r="U60">
        <v>49400</v>
      </c>
      <c r="V60">
        <v>-49400</v>
      </c>
      <c r="X60" t="str">
        <f>VLOOKUP(Результат[[#This Row],[Тип средств]],Таблица4[],2,0)</f>
        <v>Бюджетные средства (Бюджет муниципального образования)</v>
      </c>
      <c r="Y60" t="str">
        <f>VLOOKUP(Результат[[#This Row],[Тип средств]],Таблица4[],3,0)</f>
        <v>Местный бюджет</v>
      </c>
      <c r="Z60" t="str">
        <f>IF(LEFT(Результат[[#This Row],[ЦСР]],2)="06",VLOOKUP(Результат[[#This Row],[ЦСР]],Таблица3[[ЦСР]:[Пункт подпрограммы]],4,0),"")</f>
        <v>1.1.4</v>
      </c>
      <c r="AA6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37" t="str">
        <f t="shared" si="0"/>
        <v>КФКиС</v>
      </c>
    </row>
    <row r="61" spans="1:29" x14ac:dyDescent="0.25">
      <c r="A61" t="s">
        <v>22</v>
      </c>
      <c r="B61">
        <v>1101</v>
      </c>
      <c r="C61" t="s">
        <v>40</v>
      </c>
      <c r="D61">
        <v>611</v>
      </c>
      <c r="E61">
        <v>400010</v>
      </c>
      <c r="F61">
        <v>241</v>
      </c>
      <c r="G61">
        <v>213002</v>
      </c>
      <c r="H61" t="s">
        <v>24</v>
      </c>
      <c r="J61">
        <v>910</v>
      </c>
      <c r="K61">
        <v>272042621</v>
      </c>
      <c r="L61">
        <v>0</v>
      </c>
      <c r="M61">
        <v>0</v>
      </c>
      <c r="N61">
        <v>0</v>
      </c>
      <c r="O61">
        <v>0</v>
      </c>
      <c r="P61">
        <v>0</v>
      </c>
      <c r="Q61">
        <v>39260</v>
      </c>
      <c r="R61">
        <v>39260</v>
      </c>
      <c r="S61">
        <v>39260</v>
      </c>
      <c r="T61">
        <v>28020</v>
      </c>
      <c r="U61">
        <v>145800</v>
      </c>
      <c r="V61">
        <v>-145800</v>
      </c>
      <c r="X61" t="str">
        <f>VLOOKUP(Результат[[#This Row],[Тип средств]],Таблица4[],2,0)</f>
        <v>Бюджетные средства (Бюджет муниципального образования)</v>
      </c>
      <c r="Y61" t="str">
        <f>VLOOKUP(Результат[[#This Row],[Тип средств]],Таблица4[],3,0)</f>
        <v>Местный бюджет</v>
      </c>
      <c r="Z61" t="str">
        <f>IF(LEFT(Результат[[#This Row],[ЦСР]],2)="06",VLOOKUP(Результат[[#This Row],[ЦСР]],Таблица3[[ЦСР]:[Пункт подпрограммы]],4,0),"")</f>
        <v>1.1.4</v>
      </c>
      <c r="AA6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37" t="str">
        <f t="shared" si="0"/>
        <v>КФКиС</v>
      </c>
    </row>
    <row r="62" spans="1:29" x14ac:dyDescent="0.25">
      <c r="A62" t="s">
        <v>22</v>
      </c>
      <c r="B62">
        <v>1101</v>
      </c>
      <c r="C62" t="s">
        <v>40</v>
      </c>
      <c r="D62">
        <v>611</v>
      </c>
      <c r="E62">
        <v>400010</v>
      </c>
      <c r="F62">
        <v>241</v>
      </c>
      <c r="G62">
        <v>213002</v>
      </c>
      <c r="H62" t="s">
        <v>32</v>
      </c>
      <c r="J62">
        <v>910</v>
      </c>
      <c r="K62">
        <v>272042621</v>
      </c>
      <c r="L62">
        <v>0</v>
      </c>
      <c r="M62">
        <v>0</v>
      </c>
      <c r="N62">
        <v>0</v>
      </c>
      <c r="O62">
        <v>0</v>
      </c>
      <c r="P62">
        <v>0</v>
      </c>
      <c r="Q62">
        <v>19480</v>
      </c>
      <c r="R62">
        <v>29220</v>
      </c>
      <c r="S62">
        <v>29220</v>
      </c>
      <c r="T62">
        <v>19480</v>
      </c>
      <c r="U62">
        <v>97400</v>
      </c>
      <c r="V62">
        <v>-97400</v>
      </c>
      <c r="X62" t="str">
        <f>VLOOKUP(Результат[[#This Row],[Тип средств]],Таблица4[],2,0)</f>
        <v>Бюджетные средства (Бюджет муниципального образования)</v>
      </c>
      <c r="Y62" t="str">
        <f>VLOOKUP(Результат[[#This Row],[Тип средств]],Таблица4[],3,0)</f>
        <v>Местный бюджет</v>
      </c>
      <c r="Z62" t="str">
        <f>IF(LEFT(Результат[[#This Row],[ЦСР]],2)="06",VLOOKUP(Результат[[#This Row],[ЦСР]],Таблица3[[ЦСР]:[Пункт подпрограммы]],4,0),"")</f>
        <v>1.1.4</v>
      </c>
      <c r="AA6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37" t="str">
        <f t="shared" si="0"/>
        <v>КФКиС</v>
      </c>
    </row>
    <row r="63" spans="1:29" x14ac:dyDescent="0.25">
      <c r="A63" t="s">
        <v>22</v>
      </c>
      <c r="B63">
        <v>1101</v>
      </c>
      <c r="C63" t="s">
        <v>40</v>
      </c>
      <c r="D63">
        <v>611</v>
      </c>
      <c r="E63">
        <v>400010</v>
      </c>
      <c r="F63">
        <v>241</v>
      </c>
      <c r="G63">
        <v>214001</v>
      </c>
      <c r="H63" t="s">
        <v>29</v>
      </c>
      <c r="J63">
        <v>910</v>
      </c>
      <c r="K63">
        <v>272042621</v>
      </c>
      <c r="L63">
        <v>0</v>
      </c>
      <c r="M63">
        <v>0</v>
      </c>
      <c r="N63">
        <v>0</v>
      </c>
      <c r="O63">
        <v>0</v>
      </c>
      <c r="P63">
        <v>0</v>
      </c>
      <c r="Q63">
        <v>100000</v>
      </c>
      <c r="R63">
        <v>800000</v>
      </c>
      <c r="S63">
        <v>1500000</v>
      </c>
      <c r="T63">
        <v>445800</v>
      </c>
      <c r="U63">
        <v>2845800</v>
      </c>
      <c r="V63">
        <v>-2845800</v>
      </c>
      <c r="X63" t="str">
        <f>VLOOKUP(Результат[[#This Row],[Тип средств]],Таблица4[],2,0)</f>
        <v>Бюджетные средства (Бюджет муниципального образования)</v>
      </c>
      <c r="Y63" t="str">
        <f>VLOOKUP(Результат[[#This Row],[Тип средств]],Таблица4[],3,0)</f>
        <v>Местный бюджет</v>
      </c>
      <c r="Z63" t="str">
        <f>IF(LEFT(Результат[[#This Row],[ЦСР]],2)="06",VLOOKUP(Результат[[#This Row],[ЦСР]],Таблица3[[ЦСР]:[Пункт подпрограммы]],4,0),"")</f>
        <v>1.1.4</v>
      </c>
      <c r="AA6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37" t="str">
        <f t="shared" si="0"/>
        <v>КФКиС</v>
      </c>
    </row>
    <row r="64" spans="1:29" x14ac:dyDescent="0.25">
      <c r="A64" t="s">
        <v>22</v>
      </c>
      <c r="B64">
        <v>1101</v>
      </c>
      <c r="C64" t="s">
        <v>40</v>
      </c>
      <c r="D64">
        <v>611</v>
      </c>
      <c r="E64">
        <v>400010</v>
      </c>
      <c r="F64">
        <v>241</v>
      </c>
      <c r="G64">
        <v>214001</v>
      </c>
      <c r="H64" t="s">
        <v>31</v>
      </c>
      <c r="J64">
        <v>910</v>
      </c>
      <c r="K64">
        <v>272042621</v>
      </c>
      <c r="L64">
        <v>0</v>
      </c>
      <c r="M64">
        <v>0</v>
      </c>
      <c r="N64">
        <v>0</v>
      </c>
      <c r="O64">
        <v>8628</v>
      </c>
      <c r="P64">
        <v>-8628</v>
      </c>
      <c r="Q64">
        <v>100000</v>
      </c>
      <c r="R64">
        <v>400000</v>
      </c>
      <c r="S64">
        <v>500000</v>
      </c>
      <c r="T64">
        <v>214800</v>
      </c>
      <c r="U64">
        <v>1214800</v>
      </c>
      <c r="V64">
        <v>-1214800</v>
      </c>
      <c r="X64" t="str">
        <f>VLOOKUP(Результат[[#This Row],[Тип средств]],Таблица4[],2,0)</f>
        <v>Бюджетные средства (Бюджет муниципального образования)</v>
      </c>
      <c r="Y64" t="str">
        <f>VLOOKUP(Результат[[#This Row],[Тип средств]],Таблица4[],3,0)</f>
        <v>Местный бюджет</v>
      </c>
      <c r="Z64" t="str">
        <f>IF(LEFT(Результат[[#This Row],[ЦСР]],2)="06",VLOOKUP(Результат[[#This Row],[ЦСР]],Таблица3[[ЦСР]:[Пункт подпрограммы]],4,0),"")</f>
        <v>1.1.4</v>
      </c>
      <c r="AA6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37" t="str">
        <f t="shared" si="0"/>
        <v>КФКиС</v>
      </c>
    </row>
    <row r="65" spans="1:29" x14ac:dyDescent="0.25">
      <c r="A65" t="s">
        <v>22</v>
      </c>
      <c r="B65">
        <v>1101</v>
      </c>
      <c r="C65" t="s">
        <v>40</v>
      </c>
      <c r="D65">
        <v>611</v>
      </c>
      <c r="E65">
        <v>400010</v>
      </c>
      <c r="F65">
        <v>241</v>
      </c>
      <c r="G65">
        <v>214001</v>
      </c>
      <c r="H65" t="s">
        <v>24</v>
      </c>
      <c r="J65">
        <v>910</v>
      </c>
      <c r="K65">
        <v>272042621</v>
      </c>
      <c r="L65">
        <v>0</v>
      </c>
      <c r="M65">
        <v>0</v>
      </c>
      <c r="N65">
        <v>0</v>
      </c>
      <c r="O65">
        <v>34630</v>
      </c>
      <c r="P65">
        <v>-34630</v>
      </c>
      <c r="Q65">
        <v>200000</v>
      </c>
      <c r="R65">
        <v>800000</v>
      </c>
      <c r="S65">
        <v>1000000</v>
      </c>
      <c r="T65">
        <v>59900</v>
      </c>
      <c r="U65">
        <v>2059900</v>
      </c>
      <c r="V65">
        <v>-2059900</v>
      </c>
      <c r="X65" t="str">
        <f>VLOOKUP(Результат[[#This Row],[Тип средств]],Таблица4[],2,0)</f>
        <v>Бюджетные средства (Бюджет муниципального образования)</v>
      </c>
      <c r="Y65" t="str">
        <f>VLOOKUP(Результат[[#This Row],[Тип средств]],Таблица4[],3,0)</f>
        <v>Местный бюджет</v>
      </c>
      <c r="Z65" t="str">
        <f>IF(LEFT(Результат[[#This Row],[ЦСР]],2)="06",VLOOKUP(Результат[[#This Row],[ЦСР]],Таблица3[[ЦСР]:[Пункт подпрограммы]],4,0),"")</f>
        <v>1.1.4</v>
      </c>
      <c r="AA6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37" t="str">
        <f t="shared" si="0"/>
        <v>КФКиС</v>
      </c>
    </row>
    <row r="66" spans="1:29" x14ac:dyDescent="0.25">
      <c r="A66" t="s">
        <v>22</v>
      </c>
      <c r="B66">
        <v>1101</v>
      </c>
      <c r="C66" t="s">
        <v>40</v>
      </c>
      <c r="D66">
        <v>611</v>
      </c>
      <c r="E66">
        <v>400010</v>
      </c>
      <c r="F66">
        <v>241</v>
      </c>
      <c r="G66">
        <v>214001</v>
      </c>
      <c r="H66" t="s">
        <v>32</v>
      </c>
      <c r="J66">
        <v>910</v>
      </c>
      <c r="K66">
        <v>272042621</v>
      </c>
      <c r="L66">
        <v>0</v>
      </c>
      <c r="M66">
        <v>0</v>
      </c>
      <c r="N66">
        <v>0</v>
      </c>
      <c r="O66">
        <v>0</v>
      </c>
      <c r="P66">
        <v>0</v>
      </c>
      <c r="Q66">
        <v>300000</v>
      </c>
      <c r="R66">
        <v>1000000</v>
      </c>
      <c r="S66">
        <v>1000000</v>
      </c>
      <c r="T66">
        <v>289800</v>
      </c>
      <c r="U66">
        <v>2589800</v>
      </c>
      <c r="V66">
        <v>-2589800</v>
      </c>
      <c r="X66" t="str">
        <f>VLOOKUP(Результат[[#This Row],[Тип средств]],Таблица4[],2,0)</f>
        <v>Бюджетные средства (Бюджет муниципального образования)</v>
      </c>
      <c r="Y66" t="str">
        <f>VLOOKUP(Результат[[#This Row],[Тип средств]],Таблица4[],3,0)</f>
        <v>Местный бюджет</v>
      </c>
      <c r="Z66" t="str">
        <f>IF(LEFT(Результат[[#This Row],[ЦСР]],2)="06",VLOOKUP(Результат[[#This Row],[ЦСР]],Таблица3[[ЦСР]:[Пункт подпрограммы]],4,0),"")</f>
        <v>1.1.4</v>
      </c>
      <c r="AA6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37" t="str">
        <f t="shared" si="0"/>
        <v>КФКиС</v>
      </c>
    </row>
    <row r="67" spans="1:29" x14ac:dyDescent="0.25">
      <c r="A67" t="s">
        <v>22</v>
      </c>
      <c r="B67">
        <v>1101</v>
      </c>
      <c r="C67" t="s">
        <v>40</v>
      </c>
      <c r="D67">
        <v>611</v>
      </c>
      <c r="E67">
        <v>400010</v>
      </c>
      <c r="F67">
        <v>241</v>
      </c>
      <c r="G67">
        <v>214003</v>
      </c>
      <c r="H67" t="s">
        <v>31</v>
      </c>
      <c r="J67">
        <v>910</v>
      </c>
      <c r="K67">
        <v>272042534</v>
      </c>
      <c r="L67">
        <v>0</v>
      </c>
      <c r="M67">
        <v>0</v>
      </c>
      <c r="N67">
        <v>0</v>
      </c>
      <c r="O67">
        <v>0</v>
      </c>
      <c r="P67">
        <v>0</v>
      </c>
      <c r="Q67">
        <v>60000</v>
      </c>
      <c r="R67">
        <v>60000</v>
      </c>
      <c r="S67">
        <v>0</v>
      </c>
      <c r="T67">
        <v>0</v>
      </c>
      <c r="U67">
        <v>120000</v>
      </c>
      <c r="V67">
        <v>-120000</v>
      </c>
      <c r="X67" t="str">
        <f>VLOOKUP(Результат[[#This Row],[Тип средств]],Таблица4[],2,0)</f>
        <v>Бюджетные средства (Бюджет муниципального образования)</v>
      </c>
      <c r="Y67" t="str">
        <f>VLOOKUP(Результат[[#This Row],[Тип средств]],Таблица4[],3,0)</f>
        <v>Местный бюджет</v>
      </c>
      <c r="Z67" t="str">
        <f>IF(LEFT(Результат[[#This Row],[ЦСР]],2)="06",VLOOKUP(Результат[[#This Row],[ЦСР]],Таблица3[[ЦСР]:[Пункт подпрограммы]],4,0),"")</f>
        <v>1.1.4</v>
      </c>
      <c r="AA6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37" t="str">
        <f t="shared" si="0"/>
        <v>КФКиС</v>
      </c>
    </row>
    <row r="68" spans="1:29" x14ac:dyDescent="0.25">
      <c r="A68" t="s">
        <v>22</v>
      </c>
      <c r="B68">
        <v>1101</v>
      </c>
      <c r="C68" t="s">
        <v>40</v>
      </c>
      <c r="D68">
        <v>611</v>
      </c>
      <c r="E68">
        <v>400010</v>
      </c>
      <c r="F68">
        <v>241</v>
      </c>
      <c r="G68">
        <v>221001</v>
      </c>
      <c r="H68" t="s">
        <v>29</v>
      </c>
      <c r="J68">
        <v>110</v>
      </c>
      <c r="K68">
        <v>272042534</v>
      </c>
      <c r="L68">
        <v>0</v>
      </c>
      <c r="M68">
        <v>0</v>
      </c>
      <c r="N68">
        <v>0</v>
      </c>
      <c r="O68">
        <v>0</v>
      </c>
      <c r="P68">
        <v>0</v>
      </c>
      <c r="Q68">
        <v>55100</v>
      </c>
      <c r="R68">
        <v>94300</v>
      </c>
      <c r="S68">
        <v>82600</v>
      </c>
      <c r="T68">
        <v>48000</v>
      </c>
      <c r="U68">
        <v>280000</v>
      </c>
      <c r="V68">
        <v>-280000</v>
      </c>
      <c r="X68" t="str">
        <f>VLOOKUP(Результат[[#This Row],[Тип средств]],Таблица4[],2,0)</f>
        <v>Бюджетные средства (Бюджет муниципального образования)</v>
      </c>
      <c r="Y68" t="str">
        <f>VLOOKUP(Результат[[#This Row],[Тип средств]],Таблица4[],3,0)</f>
        <v>Местный бюджет</v>
      </c>
      <c r="Z68" t="str">
        <f>IF(LEFT(Результат[[#This Row],[ЦСР]],2)="06",VLOOKUP(Результат[[#This Row],[ЦСР]],Таблица3[[ЦСР]:[Пункт подпрограммы]],4,0),"")</f>
        <v>1.1.4</v>
      </c>
      <c r="AA6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37" t="str">
        <f t="shared" si="0"/>
        <v>КФКиС</v>
      </c>
    </row>
    <row r="69" spans="1:29" x14ac:dyDescent="0.25">
      <c r="A69" t="s">
        <v>22</v>
      </c>
      <c r="B69">
        <v>1101</v>
      </c>
      <c r="C69" t="s">
        <v>40</v>
      </c>
      <c r="D69">
        <v>611</v>
      </c>
      <c r="E69">
        <v>400010</v>
      </c>
      <c r="F69">
        <v>241</v>
      </c>
      <c r="G69">
        <v>221001</v>
      </c>
      <c r="H69" t="s">
        <v>31</v>
      </c>
      <c r="J69">
        <v>110</v>
      </c>
      <c r="K69">
        <v>272042534</v>
      </c>
      <c r="L69">
        <v>0</v>
      </c>
      <c r="M69">
        <v>0</v>
      </c>
      <c r="N69">
        <v>0</v>
      </c>
      <c r="O69">
        <v>0</v>
      </c>
      <c r="P69">
        <v>0</v>
      </c>
      <c r="Q69">
        <v>27700</v>
      </c>
      <c r="R69">
        <v>37000</v>
      </c>
      <c r="S69">
        <v>35000</v>
      </c>
      <c r="T69">
        <v>40600</v>
      </c>
      <c r="U69">
        <v>140300</v>
      </c>
      <c r="V69">
        <v>-140300</v>
      </c>
      <c r="X69" t="str">
        <f>VLOOKUP(Результат[[#This Row],[Тип средств]],Таблица4[],2,0)</f>
        <v>Бюджетные средства (Бюджет муниципального образования)</v>
      </c>
      <c r="Y69" t="str">
        <f>VLOOKUP(Результат[[#This Row],[Тип средств]],Таблица4[],3,0)</f>
        <v>Местный бюджет</v>
      </c>
      <c r="Z69" t="str">
        <f>IF(LEFT(Результат[[#This Row],[ЦСР]],2)="06",VLOOKUP(Результат[[#This Row],[ЦСР]],Таблица3[[ЦСР]:[Пункт подпрограммы]],4,0),"")</f>
        <v>1.1.4</v>
      </c>
      <c r="AA6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37" t="str">
        <f t="shared" si="0"/>
        <v>КФКиС</v>
      </c>
    </row>
    <row r="70" spans="1:29" x14ac:dyDescent="0.25">
      <c r="A70" t="s">
        <v>22</v>
      </c>
      <c r="B70">
        <v>1101</v>
      </c>
      <c r="C70" t="s">
        <v>40</v>
      </c>
      <c r="D70">
        <v>611</v>
      </c>
      <c r="E70">
        <v>400010</v>
      </c>
      <c r="F70">
        <v>241</v>
      </c>
      <c r="G70">
        <v>221001</v>
      </c>
      <c r="H70" t="s">
        <v>24</v>
      </c>
      <c r="J70">
        <v>110</v>
      </c>
      <c r="K70">
        <v>272042534</v>
      </c>
      <c r="L70">
        <v>0</v>
      </c>
      <c r="M70">
        <v>0</v>
      </c>
      <c r="N70">
        <v>0</v>
      </c>
      <c r="O70">
        <v>0</v>
      </c>
      <c r="P70">
        <v>0</v>
      </c>
      <c r="Q70">
        <v>40000</v>
      </c>
      <c r="R70">
        <v>50000</v>
      </c>
      <c r="S70">
        <v>40000</v>
      </c>
      <c r="T70">
        <v>58200</v>
      </c>
      <c r="U70">
        <v>188200</v>
      </c>
      <c r="V70">
        <v>-188200</v>
      </c>
      <c r="X70" t="str">
        <f>VLOOKUP(Результат[[#This Row],[Тип средств]],Таблица4[],2,0)</f>
        <v>Бюджетные средства (Бюджет муниципального образования)</v>
      </c>
      <c r="Y70" t="str">
        <f>VLOOKUP(Результат[[#This Row],[Тип средств]],Таблица4[],3,0)</f>
        <v>Местный бюджет</v>
      </c>
      <c r="Z70" t="str">
        <f>IF(LEFT(Результат[[#This Row],[ЦСР]],2)="06",VLOOKUP(Результат[[#This Row],[ЦСР]],Таблица3[[ЦСР]:[Пункт подпрограммы]],4,0),"")</f>
        <v>1.1.4</v>
      </c>
      <c r="AA7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37" t="str">
        <f t="shared" ref="AC70:AC133" si="1">"КФКиС"</f>
        <v>КФКиС</v>
      </c>
    </row>
    <row r="71" spans="1:29" x14ac:dyDescent="0.25">
      <c r="A71" t="s">
        <v>22</v>
      </c>
      <c r="B71">
        <v>1101</v>
      </c>
      <c r="C71" t="s">
        <v>40</v>
      </c>
      <c r="D71">
        <v>611</v>
      </c>
      <c r="E71">
        <v>400010</v>
      </c>
      <c r="F71">
        <v>241</v>
      </c>
      <c r="G71">
        <v>221001</v>
      </c>
      <c r="H71" t="s">
        <v>32</v>
      </c>
      <c r="J71">
        <v>110</v>
      </c>
      <c r="K71">
        <v>272042534</v>
      </c>
      <c r="L71">
        <v>0</v>
      </c>
      <c r="M71">
        <v>0</v>
      </c>
      <c r="N71">
        <v>0</v>
      </c>
      <c r="O71">
        <v>0</v>
      </c>
      <c r="P71">
        <v>0</v>
      </c>
      <c r="Q71">
        <v>131185</v>
      </c>
      <c r="R71">
        <v>175775</v>
      </c>
      <c r="S71">
        <v>175775</v>
      </c>
      <c r="T71">
        <v>220365</v>
      </c>
      <c r="U71">
        <v>703100</v>
      </c>
      <c r="V71">
        <v>-703100</v>
      </c>
      <c r="X71" t="str">
        <f>VLOOKUP(Результат[[#This Row],[Тип средств]],Таблица4[],2,0)</f>
        <v>Бюджетные средства (Бюджет муниципального образования)</v>
      </c>
      <c r="Y71" t="str">
        <f>VLOOKUP(Результат[[#This Row],[Тип средств]],Таблица4[],3,0)</f>
        <v>Местный бюджет</v>
      </c>
      <c r="Z71" t="str">
        <f>IF(LEFT(Результат[[#This Row],[ЦСР]],2)="06",VLOOKUP(Результат[[#This Row],[ЦСР]],Таблица3[[ЦСР]:[Пункт подпрограммы]],4,0),"")</f>
        <v>1.1.4</v>
      </c>
      <c r="AA7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37" t="str">
        <f t="shared" si="1"/>
        <v>КФКиС</v>
      </c>
    </row>
    <row r="72" spans="1:29" x14ac:dyDescent="0.25">
      <c r="A72" t="s">
        <v>22</v>
      </c>
      <c r="B72">
        <v>1101</v>
      </c>
      <c r="C72" t="s">
        <v>40</v>
      </c>
      <c r="D72">
        <v>611</v>
      </c>
      <c r="E72">
        <v>400010</v>
      </c>
      <c r="F72">
        <v>241</v>
      </c>
      <c r="G72">
        <v>221001</v>
      </c>
      <c r="H72" t="s">
        <v>29</v>
      </c>
      <c r="J72">
        <v>120</v>
      </c>
      <c r="K72">
        <v>272042534</v>
      </c>
      <c r="L72">
        <v>0</v>
      </c>
      <c r="M72">
        <v>0</v>
      </c>
      <c r="N72">
        <v>0</v>
      </c>
      <c r="O72">
        <v>0</v>
      </c>
      <c r="P72">
        <v>0</v>
      </c>
      <c r="Q72">
        <v>0</v>
      </c>
      <c r="R72">
        <v>11660</v>
      </c>
      <c r="S72">
        <v>0</v>
      </c>
      <c r="T72">
        <v>50440</v>
      </c>
      <c r="U72">
        <v>62100</v>
      </c>
      <c r="V72">
        <v>-62100</v>
      </c>
      <c r="X72" t="str">
        <f>VLOOKUP(Результат[[#This Row],[Тип средств]],Таблица4[],2,0)</f>
        <v>Бюджетные средства (Бюджет муниципального образования)</v>
      </c>
      <c r="Y72" t="str">
        <f>VLOOKUP(Результат[[#This Row],[Тип средств]],Таблица4[],3,0)</f>
        <v>Местный бюджет</v>
      </c>
      <c r="Z72" t="str">
        <f>IF(LEFT(Результат[[#This Row],[ЦСР]],2)="06",VLOOKUP(Результат[[#This Row],[ЦСР]],Таблица3[[ЦСР]:[Пункт подпрограммы]],4,0),"")</f>
        <v>1.1.4</v>
      </c>
      <c r="AA7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37" t="str">
        <f t="shared" si="1"/>
        <v>КФКиС</v>
      </c>
    </row>
    <row r="73" spans="1:29" x14ac:dyDescent="0.25">
      <c r="A73" t="s">
        <v>22</v>
      </c>
      <c r="B73">
        <v>1101</v>
      </c>
      <c r="C73" t="s">
        <v>40</v>
      </c>
      <c r="D73">
        <v>611</v>
      </c>
      <c r="E73">
        <v>400010</v>
      </c>
      <c r="F73">
        <v>241</v>
      </c>
      <c r="G73">
        <v>221001</v>
      </c>
      <c r="H73" t="s">
        <v>24</v>
      </c>
      <c r="J73">
        <v>120</v>
      </c>
      <c r="K73">
        <v>272042534</v>
      </c>
      <c r="L73">
        <v>0</v>
      </c>
      <c r="M73">
        <v>0</v>
      </c>
      <c r="N73">
        <v>0</v>
      </c>
      <c r="O73">
        <v>0</v>
      </c>
      <c r="P73">
        <v>0</v>
      </c>
      <c r="Q73">
        <v>0</v>
      </c>
      <c r="R73">
        <v>0</v>
      </c>
      <c r="S73">
        <v>56700</v>
      </c>
      <c r="T73">
        <v>0</v>
      </c>
      <c r="U73">
        <v>56700</v>
      </c>
      <c r="V73">
        <v>-56700</v>
      </c>
      <c r="X73" t="str">
        <f>VLOOKUP(Результат[[#This Row],[Тип средств]],Таблица4[],2,0)</f>
        <v>Бюджетные средства (Бюджет муниципального образования)</v>
      </c>
      <c r="Y73" t="str">
        <f>VLOOKUP(Результат[[#This Row],[Тип средств]],Таблица4[],3,0)</f>
        <v>Местный бюджет</v>
      </c>
      <c r="Z73" t="str">
        <f>IF(LEFT(Результат[[#This Row],[ЦСР]],2)="06",VLOOKUP(Результат[[#This Row],[ЦСР]],Таблица3[[ЦСР]:[Пункт подпрограммы]],4,0),"")</f>
        <v>1.1.4</v>
      </c>
      <c r="AA7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37" t="str">
        <f t="shared" si="1"/>
        <v>КФКиС</v>
      </c>
    </row>
    <row r="74" spans="1:29" x14ac:dyDescent="0.25">
      <c r="A74" t="s">
        <v>22</v>
      </c>
      <c r="B74">
        <v>1101</v>
      </c>
      <c r="C74" t="s">
        <v>40</v>
      </c>
      <c r="D74">
        <v>611</v>
      </c>
      <c r="E74">
        <v>400010</v>
      </c>
      <c r="F74">
        <v>241</v>
      </c>
      <c r="G74">
        <v>222001</v>
      </c>
      <c r="H74" t="s">
        <v>24</v>
      </c>
      <c r="J74">
        <v>110</v>
      </c>
      <c r="K74">
        <v>272042534</v>
      </c>
      <c r="L74">
        <v>0</v>
      </c>
      <c r="M74">
        <v>0</v>
      </c>
      <c r="N74">
        <v>0</v>
      </c>
      <c r="O74">
        <v>0</v>
      </c>
      <c r="P74">
        <v>0</v>
      </c>
      <c r="Q74">
        <v>694360</v>
      </c>
      <c r="R74">
        <v>340340</v>
      </c>
      <c r="S74">
        <v>202000</v>
      </c>
      <c r="T74">
        <v>606000</v>
      </c>
      <c r="U74">
        <v>1842700</v>
      </c>
      <c r="V74">
        <v>-1842700</v>
      </c>
      <c r="X74" t="str">
        <f>VLOOKUP(Результат[[#This Row],[Тип средств]],Таблица4[],2,0)</f>
        <v>Бюджетные средства (Бюджет муниципального образования)</v>
      </c>
      <c r="Y74" t="str">
        <f>VLOOKUP(Результат[[#This Row],[Тип средств]],Таблица4[],3,0)</f>
        <v>Местный бюджет</v>
      </c>
      <c r="Z74" t="str">
        <f>IF(LEFT(Результат[[#This Row],[ЦСР]],2)="06",VLOOKUP(Результат[[#This Row],[ЦСР]],Таблица3[[ЦСР]:[Пункт подпрограммы]],4,0),"")</f>
        <v>1.1.4</v>
      </c>
      <c r="AA7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37" t="str">
        <f t="shared" si="1"/>
        <v>КФКиС</v>
      </c>
    </row>
    <row r="75" spans="1:29" x14ac:dyDescent="0.25">
      <c r="A75" t="s">
        <v>22</v>
      </c>
      <c r="B75">
        <v>1101</v>
      </c>
      <c r="C75" t="s">
        <v>40</v>
      </c>
      <c r="D75">
        <v>611</v>
      </c>
      <c r="E75">
        <v>400010</v>
      </c>
      <c r="F75">
        <v>241</v>
      </c>
      <c r="G75">
        <v>222002</v>
      </c>
      <c r="H75" t="s">
        <v>29</v>
      </c>
      <c r="J75">
        <v>120</v>
      </c>
      <c r="K75">
        <v>272042535</v>
      </c>
      <c r="L75">
        <v>0</v>
      </c>
      <c r="M75">
        <v>0</v>
      </c>
      <c r="N75">
        <v>0</v>
      </c>
      <c r="O75">
        <v>0</v>
      </c>
      <c r="P75">
        <v>0</v>
      </c>
      <c r="Q75">
        <v>759500</v>
      </c>
      <c r="R75">
        <v>402500</v>
      </c>
      <c r="S75">
        <v>0</v>
      </c>
      <c r="T75">
        <v>56000</v>
      </c>
      <c r="U75">
        <v>1218000</v>
      </c>
      <c r="V75">
        <v>-1218000</v>
      </c>
      <c r="X75" t="str">
        <f>VLOOKUP(Результат[[#This Row],[Тип средств]],Таблица4[],2,0)</f>
        <v>Бюджетные средства (Бюджет муниципального образования)</v>
      </c>
      <c r="Y75" t="str">
        <f>VLOOKUP(Результат[[#This Row],[Тип средств]],Таблица4[],3,0)</f>
        <v>Местный бюджет</v>
      </c>
      <c r="Z75" t="str">
        <f>IF(LEFT(Результат[[#This Row],[ЦСР]],2)="06",VLOOKUP(Результат[[#This Row],[ЦСР]],Таблица3[[ЦСР]:[Пункт подпрограммы]],4,0),"")</f>
        <v>1.1.4</v>
      </c>
      <c r="AA7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37" t="str">
        <f t="shared" si="1"/>
        <v>КФКиС</v>
      </c>
    </row>
    <row r="76" spans="1:29" x14ac:dyDescent="0.25">
      <c r="A76" t="s">
        <v>22</v>
      </c>
      <c r="B76">
        <v>1101</v>
      </c>
      <c r="C76" t="s">
        <v>40</v>
      </c>
      <c r="D76">
        <v>611</v>
      </c>
      <c r="E76">
        <v>400010</v>
      </c>
      <c r="F76">
        <v>241</v>
      </c>
      <c r="G76">
        <v>222002</v>
      </c>
      <c r="H76" t="s">
        <v>31</v>
      </c>
      <c r="J76">
        <v>120</v>
      </c>
      <c r="K76">
        <v>272042535</v>
      </c>
      <c r="L76">
        <v>0</v>
      </c>
      <c r="M76">
        <v>0</v>
      </c>
      <c r="N76">
        <v>0</v>
      </c>
      <c r="O76">
        <v>0</v>
      </c>
      <c r="P76">
        <v>0</v>
      </c>
      <c r="Q76">
        <v>221000</v>
      </c>
      <c r="R76">
        <v>36000</v>
      </c>
      <c r="S76">
        <v>70000</v>
      </c>
      <c r="T76">
        <v>106000</v>
      </c>
      <c r="U76">
        <v>433000</v>
      </c>
      <c r="V76">
        <v>-433000</v>
      </c>
      <c r="X76" t="str">
        <f>VLOOKUP(Результат[[#This Row],[Тип средств]],Таблица4[],2,0)</f>
        <v>Бюджетные средства (Бюджет муниципального образования)</v>
      </c>
      <c r="Y76" t="str">
        <f>VLOOKUP(Результат[[#This Row],[Тип средств]],Таблица4[],3,0)</f>
        <v>Местный бюджет</v>
      </c>
      <c r="Z76" t="str">
        <f>IF(LEFT(Результат[[#This Row],[ЦСР]],2)="06",VLOOKUP(Результат[[#This Row],[ЦСР]],Таблица3[[ЦСР]:[Пункт подпрограммы]],4,0),"")</f>
        <v>1.1.4</v>
      </c>
      <c r="AA7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37" t="str">
        <f t="shared" si="1"/>
        <v>КФКиС</v>
      </c>
    </row>
    <row r="77" spans="1:29" x14ac:dyDescent="0.25">
      <c r="A77" t="s">
        <v>22</v>
      </c>
      <c r="B77">
        <v>1101</v>
      </c>
      <c r="C77" t="s">
        <v>40</v>
      </c>
      <c r="D77">
        <v>611</v>
      </c>
      <c r="E77">
        <v>400010</v>
      </c>
      <c r="F77">
        <v>241</v>
      </c>
      <c r="G77">
        <v>222002</v>
      </c>
      <c r="H77" t="s">
        <v>24</v>
      </c>
      <c r="J77">
        <v>120</v>
      </c>
      <c r="K77">
        <v>272042535</v>
      </c>
      <c r="L77">
        <v>0</v>
      </c>
      <c r="M77">
        <v>0</v>
      </c>
      <c r="N77">
        <v>0</v>
      </c>
      <c r="O77">
        <v>0</v>
      </c>
      <c r="P77">
        <v>0</v>
      </c>
      <c r="Q77">
        <v>800700</v>
      </c>
      <c r="R77">
        <v>0</v>
      </c>
      <c r="S77">
        <v>0</v>
      </c>
      <c r="T77">
        <v>0</v>
      </c>
      <c r="U77">
        <v>800700</v>
      </c>
      <c r="V77">
        <v>-800700</v>
      </c>
      <c r="X77" t="str">
        <f>VLOOKUP(Результат[[#This Row],[Тип средств]],Таблица4[],2,0)</f>
        <v>Бюджетные средства (Бюджет муниципального образования)</v>
      </c>
      <c r="Y77" t="str">
        <f>VLOOKUP(Результат[[#This Row],[Тип средств]],Таблица4[],3,0)</f>
        <v>Местный бюджет</v>
      </c>
      <c r="Z77" t="str">
        <f>IF(LEFT(Результат[[#This Row],[ЦСР]],2)="06",VLOOKUP(Результат[[#This Row],[ЦСР]],Таблица3[[ЦСР]:[Пункт подпрограммы]],4,0),"")</f>
        <v>1.1.4</v>
      </c>
      <c r="AA7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37" t="str">
        <f t="shared" si="1"/>
        <v>КФКиС</v>
      </c>
    </row>
    <row r="78" spans="1:29" x14ac:dyDescent="0.25">
      <c r="A78" t="s">
        <v>22</v>
      </c>
      <c r="B78">
        <v>1101</v>
      </c>
      <c r="C78" t="s">
        <v>40</v>
      </c>
      <c r="D78">
        <v>611</v>
      </c>
      <c r="E78">
        <v>400010</v>
      </c>
      <c r="F78">
        <v>241</v>
      </c>
      <c r="G78">
        <v>223001</v>
      </c>
      <c r="H78" t="s">
        <v>29</v>
      </c>
      <c r="J78">
        <v>110</v>
      </c>
      <c r="K78">
        <v>272042534</v>
      </c>
      <c r="L78">
        <v>0</v>
      </c>
      <c r="M78">
        <v>0</v>
      </c>
      <c r="N78">
        <v>0</v>
      </c>
      <c r="O78">
        <v>0</v>
      </c>
      <c r="P78">
        <v>0</v>
      </c>
      <c r="Q78">
        <v>1900000</v>
      </c>
      <c r="R78">
        <v>1200000</v>
      </c>
      <c r="S78">
        <v>500000</v>
      </c>
      <c r="T78">
        <v>900000</v>
      </c>
      <c r="U78">
        <v>4500000</v>
      </c>
      <c r="V78">
        <v>-4500000</v>
      </c>
      <c r="X78" t="str">
        <f>VLOOKUP(Результат[[#This Row],[Тип средств]],Таблица4[],2,0)</f>
        <v>Бюджетные средства (Бюджет муниципального образования)</v>
      </c>
      <c r="Y78" t="str">
        <f>VLOOKUP(Результат[[#This Row],[Тип средств]],Таблица4[],3,0)</f>
        <v>Местный бюджет</v>
      </c>
      <c r="Z78" t="str">
        <f>IF(LEFT(Результат[[#This Row],[ЦСР]],2)="06",VLOOKUP(Результат[[#This Row],[ЦСР]],Таблица3[[ЦСР]:[Пункт подпрограммы]],4,0),"")</f>
        <v>1.1.4</v>
      </c>
      <c r="AA7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37" t="str">
        <f t="shared" si="1"/>
        <v>КФКиС</v>
      </c>
    </row>
    <row r="79" spans="1:29" x14ac:dyDescent="0.25">
      <c r="A79" t="s">
        <v>22</v>
      </c>
      <c r="B79">
        <v>1101</v>
      </c>
      <c r="C79" t="s">
        <v>40</v>
      </c>
      <c r="D79">
        <v>611</v>
      </c>
      <c r="E79">
        <v>400010</v>
      </c>
      <c r="F79">
        <v>241</v>
      </c>
      <c r="G79">
        <v>223001</v>
      </c>
      <c r="H79" t="s">
        <v>31</v>
      </c>
      <c r="J79">
        <v>110</v>
      </c>
      <c r="K79">
        <v>272042534</v>
      </c>
      <c r="L79">
        <v>0</v>
      </c>
      <c r="M79">
        <v>0</v>
      </c>
      <c r="N79">
        <v>0</v>
      </c>
      <c r="O79">
        <v>0</v>
      </c>
      <c r="P79">
        <v>0</v>
      </c>
      <c r="Q79">
        <v>400000</v>
      </c>
      <c r="R79">
        <v>410000</v>
      </c>
      <c r="S79">
        <v>0</v>
      </c>
      <c r="T79">
        <v>580800</v>
      </c>
      <c r="U79">
        <v>1390800</v>
      </c>
      <c r="V79">
        <v>-1390800</v>
      </c>
      <c r="X79" t="str">
        <f>VLOOKUP(Результат[[#This Row],[Тип средств]],Таблица4[],2,0)</f>
        <v>Бюджетные средства (Бюджет муниципального образования)</v>
      </c>
      <c r="Y79" t="str">
        <f>VLOOKUP(Результат[[#This Row],[Тип средств]],Таблица4[],3,0)</f>
        <v>Местный бюджет</v>
      </c>
      <c r="Z79" t="str">
        <f>IF(LEFT(Результат[[#This Row],[ЦСР]],2)="06",VLOOKUP(Результат[[#This Row],[ЦСР]],Таблица3[[ЦСР]:[Пункт подпрограммы]],4,0),"")</f>
        <v>1.1.4</v>
      </c>
      <c r="AA7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37" t="str">
        <f t="shared" si="1"/>
        <v>КФКиС</v>
      </c>
    </row>
    <row r="80" spans="1:29" x14ac:dyDescent="0.25">
      <c r="A80" t="s">
        <v>22</v>
      </c>
      <c r="B80">
        <v>1101</v>
      </c>
      <c r="C80" t="s">
        <v>40</v>
      </c>
      <c r="D80">
        <v>611</v>
      </c>
      <c r="E80">
        <v>400010</v>
      </c>
      <c r="F80">
        <v>241</v>
      </c>
      <c r="G80">
        <v>223001</v>
      </c>
      <c r="H80" t="s">
        <v>24</v>
      </c>
      <c r="J80">
        <v>110</v>
      </c>
      <c r="K80">
        <v>272042534</v>
      </c>
      <c r="L80">
        <v>0</v>
      </c>
      <c r="M80">
        <v>0</v>
      </c>
      <c r="N80">
        <v>0</v>
      </c>
      <c r="O80">
        <v>0</v>
      </c>
      <c r="P80">
        <v>0</v>
      </c>
      <c r="Q80">
        <v>1600000</v>
      </c>
      <c r="R80">
        <v>1000000</v>
      </c>
      <c r="S80">
        <v>168200</v>
      </c>
      <c r="T80">
        <v>1400000</v>
      </c>
      <c r="U80">
        <v>4168200</v>
      </c>
      <c r="V80">
        <v>-4168200</v>
      </c>
      <c r="X80" t="str">
        <f>VLOOKUP(Результат[[#This Row],[Тип средств]],Таблица4[],2,0)</f>
        <v>Бюджетные средства (Бюджет муниципального образования)</v>
      </c>
      <c r="Y80" t="str">
        <f>VLOOKUP(Результат[[#This Row],[Тип средств]],Таблица4[],3,0)</f>
        <v>Местный бюджет</v>
      </c>
      <c r="Z80" t="str">
        <f>IF(LEFT(Результат[[#This Row],[ЦСР]],2)="06",VLOOKUP(Результат[[#This Row],[ЦСР]],Таблица3[[ЦСР]:[Пункт подпрограммы]],4,0),"")</f>
        <v>1.1.4</v>
      </c>
      <c r="AA8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37" t="str">
        <f t="shared" si="1"/>
        <v>КФКиС</v>
      </c>
    </row>
    <row r="81" spans="1:29" x14ac:dyDescent="0.25">
      <c r="A81" t="s">
        <v>22</v>
      </c>
      <c r="B81">
        <v>1101</v>
      </c>
      <c r="C81" t="s">
        <v>40</v>
      </c>
      <c r="D81">
        <v>611</v>
      </c>
      <c r="E81">
        <v>400010</v>
      </c>
      <c r="F81">
        <v>241</v>
      </c>
      <c r="G81">
        <v>223001</v>
      </c>
      <c r="H81" t="s">
        <v>32</v>
      </c>
      <c r="J81">
        <v>110</v>
      </c>
      <c r="K81">
        <v>272042534</v>
      </c>
      <c r="L81">
        <v>0</v>
      </c>
      <c r="M81">
        <v>0</v>
      </c>
      <c r="N81">
        <v>0</v>
      </c>
      <c r="O81">
        <v>0</v>
      </c>
      <c r="P81">
        <v>0</v>
      </c>
      <c r="Q81">
        <v>5200000</v>
      </c>
      <c r="R81">
        <v>4300000</v>
      </c>
      <c r="S81">
        <v>0</v>
      </c>
      <c r="T81">
        <v>0</v>
      </c>
      <c r="U81">
        <v>9500000</v>
      </c>
      <c r="V81">
        <v>-9500000</v>
      </c>
      <c r="X81" t="str">
        <f>VLOOKUP(Результат[[#This Row],[Тип средств]],Таблица4[],2,0)</f>
        <v>Бюджетные средства (Бюджет муниципального образования)</v>
      </c>
      <c r="Y81" t="str">
        <f>VLOOKUP(Результат[[#This Row],[Тип средств]],Таблица4[],3,0)</f>
        <v>Местный бюджет</v>
      </c>
      <c r="Z81" t="str">
        <f>IF(LEFT(Результат[[#This Row],[ЦСР]],2)="06",VLOOKUP(Результат[[#This Row],[ЦСР]],Таблица3[[ЦСР]:[Пункт подпрограммы]],4,0),"")</f>
        <v>1.1.4</v>
      </c>
      <c r="AA8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37" t="str">
        <f t="shared" si="1"/>
        <v>КФКиС</v>
      </c>
    </row>
    <row r="82" spans="1:29" x14ac:dyDescent="0.25">
      <c r="A82" t="s">
        <v>22</v>
      </c>
      <c r="B82">
        <v>1101</v>
      </c>
      <c r="C82" t="s">
        <v>40</v>
      </c>
      <c r="D82">
        <v>611</v>
      </c>
      <c r="E82">
        <v>400010</v>
      </c>
      <c r="F82">
        <v>241</v>
      </c>
      <c r="G82">
        <v>223001</v>
      </c>
      <c r="H82" t="s">
        <v>29</v>
      </c>
      <c r="J82">
        <v>120</v>
      </c>
      <c r="K82">
        <v>272042534</v>
      </c>
      <c r="L82">
        <v>0</v>
      </c>
      <c r="M82">
        <v>0</v>
      </c>
      <c r="N82">
        <v>0</v>
      </c>
      <c r="O82">
        <v>0</v>
      </c>
      <c r="P82">
        <v>0</v>
      </c>
      <c r="Q82">
        <v>0</v>
      </c>
      <c r="R82">
        <v>0</v>
      </c>
      <c r="S82">
        <v>0</v>
      </c>
      <c r="T82">
        <v>1485400</v>
      </c>
      <c r="U82">
        <v>1485400</v>
      </c>
      <c r="V82">
        <v>-1485400</v>
      </c>
      <c r="X82" t="str">
        <f>VLOOKUP(Результат[[#This Row],[Тип средств]],Таблица4[],2,0)</f>
        <v>Бюджетные средства (Бюджет муниципального образования)</v>
      </c>
      <c r="Y82" t="str">
        <f>VLOOKUP(Результат[[#This Row],[Тип средств]],Таблица4[],3,0)</f>
        <v>Местный бюджет</v>
      </c>
      <c r="Z82" t="str">
        <f>IF(LEFT(Результат[[#This Row],[ЦСР]],2)="06",VLOOKUP(Результат[[#This Row],[ЦСР]],Таблица3[[ЦСР]:[Пункт подпрограммы]],4,0),"")</f>
        <v>1.1.4</v>
      </c>
      <c r="AA8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37" t="str">
        <f t="shared" si="1"/>
        <v>КФКиС</v>
      </c>
    </row>
    <row r="83" spans="1:29" x14ac:dyDescent="0.25">
      <c r="A83" t="s">
        <v>22</v>
      </c>
      <c r="B83">
        <v>1101</v>
      </c>
      <c r="C83" t="s">
        <v>40</v>
      </c>
      <c r="D83">
        <v>611</v>
      </c>
      <c r="E83">
        <v>400010</v>
      </c>
      <c r="F83">
        <v>241</v>
      </c>
      <c r="G83">
        <v>223001</v>
      </c>
      <c r="H83" t="s">
        <v>32</v>
      </c>
      <c r="J83">
        <v>120</v>
      </c>
      <c r="K83">
        <v>272042534</v>
      </c>
      <c r="L83">
        <v>0</v>
      </c>
      <c r="M83">
        <v>0</v>
      </c>
      <c r="N83">
        <v>0</v>
      </c>
      <c r="O83">
        <v>0</v>
      </c>
      <c r="P83">
        <v>0</v>
      </c>
      <c r="Q83">
        <v>0</v>
      </c>
      <c r="R83">
        <v>0</v>
      </c>
      <c r="S83">
        <v>4500000</v>
      </c>
      <c r="T83">
        <v>5289900</v>
      </c>
      <c r="U83">
        <v>9789900</v>
      </c>
      <c r="V83">
        <v>-9789900</v>
      </c>
      <c r="X83" t="str">
        <f>VLOOKUP(Результат[[#This Row],[Тип средств]],Таблица4[],2,0)</f>
        <v>Бюджетные средства (Бюджет муниципального образования)</v>
      </c>
      <c r="Y83" t="str">
        <f>VLOOKUP(Результат[[#This Row],[Тип средств]],Таблица4[],3,0)</f>
        <v>Местный бюджет</v>
      </c>
      <c r="Z83" t="str">
        <f>IF(LEFT(Результат[[#This Row],[ЦСР]],2)="06",VLOOKUP(Результат[[#This Row],[ЦСР]],Таблица3[[ЦСР]:[Пункт подпрограммы]],4,0),"")</f>
        <v>1.1.4</v>
      </c>
      <c r="AA8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37" t="str">
        <f t="shared" si="1"/>
        <v>КФКиС</v>
      </c>
    </row>
    <row r="84" spans="1:29" x14ac:dyDescent="0.25">
      <c r="A84" t="s">
        <v>22</v>
      </c>
      <c r="B84">
        <v>1101</v>
      </c>
      <c r="C84" t="s">
        <v>40</v>
      </c>
      <c r="D84">
        <v>611</v>
      </c>
      <c r="E84">
        <v>400010</v>
      </c>
      <c r="F84">
        <v>241</v>
      </c>
      <c r="G84">
        <v>223002</v>
      </c>
      <c r="H84" t="s">
        <v>29</v>
      </c>
      <c r="J84">
        <v>110</v>
      </c>
      <c r="K84">
        <v>272042534</v>
      </c>
      <c r="L84">
        <v>0</v>
      </c>
      <c r="M84">
        <v>0</v>
      </c>
      <c r="N84">
        <v>0</v>
      </c>
      <c r="O84">
        <v>0</v>
      </c>
      <c r="P84">
        <v>0</v>
      </c>
      <c r="Q84">
        <v>700000</v>
      </c>
      <c r="R84">
        <v>600000</v>
      </c>
      <c r="S84">
        <v>260000</v>
      </c>
      <c r="T84">
        <v>440000</v>
      </c>
      <c r="U84">
        <v>2000000</v>
      </c>
      <c r="V84">
        <v>-2000000</v>
      </c>
      <c r="X84" t="str">
        <f>VLOOKUP(Результат[[#This Row],[Тип средств]],Таблица4[],2,0)</f>
        <v>Бюджетные средства (Бюджет муниципального образования)</v>
      </c>
      <c r="Y84" t="str">
        <f>VLOOKUP(Результат[[#This Row],[Тип средств]],Таблица4[],3,0)</f>
        <v>Местный бюджет</v>
      </c>
      <c r="Z84" t="str">
        <f>IF(LEFT(Результат[[#This Row],[ЦСР]],2)="06",VLOOKUP(Результат[[#This Row],[ЦСР]],Таблица3[[ЦСР]:[Пункт подпрограммы]],4,0),"")</f>
        <v>1.1.4</v>
      </c>
      <c r="AA8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37" t="str">
        <f t="shared" si="1"/>
        <v>КФКиС</v>
      </c>
    </row>
    <row r="85" spans="1:29" x14ac:dyDescent="0.25">
      <c r="A85" t="s">
        <v>22</v>
      </c>
      <c r="B85">
        <v>1101</v>
      </c>
      <c r="C85" t="s">
        <v>40</v>
      </c>
      <c r="D85">
        <v>611</v>
      </c>
      <c r="E85">
        <v>400010</v>
      </c>
      <c r="F85">
        <v>241</v>
      </c>
      <c r="G85">
        <v>223002</v>
      </c>
      <c r="H85" t="s">
        <v>31</v>
      </c>
      <c r="J85">
        <v>110</v>
      </c>
      <c r="K85">
        <v>272042534</v>
      </c>
      <c r="L85">
        <v>0</v>
      </c>
      <c r="M85">
        <v>0</v>
      </c>
      <c r="N85">
        <v>0</v>
      </c>
      <c r="O85">
        <v>0</v>
      </c>
      <c r="P85">
        <v>0</v>
      </c>
      <c r="Q85">
        <v>80000</v>
      </c>
      <c r="R85">
        <v>80000</v>
      </c>
      <c r="S85">
        <v>70000</v>
      </c>
      <c r="T85">
        <v>70400</v>
      </c>
      <c r="U85">
        <v>300400</v>
      </c>
      <c r="V85">
        <v>-300400</v>
      </c>
      <c r="X85" t="str">
        <f>VLOOKUP(Результат[[#This Row],[Тип средств]],Таблица4[],2,0)</f>
        <v>Бюджетные средства (Бюджет муниципального образования)</v>
      </c>
      <c r="Y85" t="str">
        <f>VLOOKUP(Результат[[#This Row],[Тип средств]],Таблица4[],3,0)</f>
        <v>Местный бюджет</v>
      </c>
      <c r="Z85" t="str">
        <f>IF(LEFT(Результат[[#This Row],[ЦСР]],2)="06",VLOOKUP(Результат[[#This Row],[ЦСР]],Таблица3[[ЦСР]:[Пункт подпрограммы]],4,0),"")</f>
        <v>1.1.4</v>
      </c>
      <c r="AA8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37" t="str">
        <f t="shared" si="1"/>
        <v>КФКиС</v>
      </c>
    </row>
    <row r="86" spans="1:29" x14ac:dyDescent="0.25">
      <c r="A86" t="s">
        <v>22</v>
      </c>
      <c r="B86">
        <v>1101</v>
      </c>
      <c r="C86" t="s">
        <v>40</v>
      </c>
      <c r="D86">
        <v>611</v>
      </c>
      <c r="E86">
        <v>400010</v>
      </c>
      <c r="F86">
        <v>241</v>
      </c>
      <c r="G86">
        <v>223002</v>
      </c>
      <c r="H86" t="s">
        <v>24</v>
      </c>
      <c r="J86">
        <v>110</v>
      </c>
      <c r="K86">
        <v>272042534</v>
      </c>
      <c r="L86">
        <v>0</v>
      </c>
      <c r="M86">
        <v>0</v>
      </c>
      <c r="N86">
        <v>0</v>
      </c>
      <c r="O86">
        <v>0</v>
      </c>
      <c r="P86">
        <v>0</v>
      </c>
      <c r="Q86">
        <v>1500000</v>
      </c>
      <c r="R86">
        <v>1500000</v>
      </c>
      <c r="S86">
        <v>1500000</v>
      </c>
      <c r="T86">
        <v>1576400</v>
      </c>
      <c r="U86">
        <v>6076400</v>
      </c>
      <c r="V86">
        <v>-6076400</v>
      </c>
      <c r="X86" t="str">
        <f>VLOOKUP(Результат[[#This Row],[Тип средств]],Таблица4[],2,0)</f>
        <v>Бюджетные средства (Бюджет муниципального образования)</v>
      </c>
      <c r="Y86" t="str">
        <f>VLOOKUP(Результат[[#This Row],[Тип средств]],Таблица4[],3,0)</f>
        <v>Местный бюджет</v>
      </c>
      <c r="Z86" t="str">
        <f>IF(LEFT(Результат[[#This Row],[ЦСР]],2)="06",VLOOKUP(Результат[[#This Row],[ЦСР]],Таблица3[[ЦСР]:[Пункт подпрограммы]],4,0),"")</f>
        <v>1.1.4</v>
      </c>
      <c r="AA8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37" t="str">
        <f t="shared" si="1"/>
        <v>КФКиС</v>
      </c>
    </row>
    <row r="87" spans="1:29" x14ac:dyDescent="0.25">
      <c r="A87" t="s">
        <v>22</v>
      </c>
      <c r="B87">
        <v>1101</v>
      </c>
      <c r="C87" t="s">
        <v>40</v>
      </c>
      <c r="D87">
        <v>611</v>
      </c>
      <c r="E87">
        <v>400010</v>
      </c>
      <c r="F87">
        <v>241</v>
      </c>
      <c r="G87">
        <v>223002</v>
      </c>
      <c r="H87" t="s">
        <v>32</v>
      </c>
      <c r="J87">
        <v>110</v>
      </c>
      <c r="K87">
        <v>272042534</v>
      </c>
      <c r="L87">
        <v>0</v>
      </c>
      <c r="M87">
        <v>0</v>
      </c>
      <c r="N87">
        <v>0</v>
      </c>
      <c r="O87">
        <v>0</v>
      </c>
      <c r="P87">
        <v>0</v>
      </c>
      <c r="Q87">
        <v>4400000</v>
      </c>
      <c r="R87">
        <v>4400000</v>
      </c>
      <c r="S87">
        <v>0</v>
      </c>
      <c r="T87">
        <v>0</v>
      </c>
      <c r="U87">
        <v>8800000</v>
      </c>
      <c r="V87">
        <v>-8800000</v>
      </c>
      <c r="X87" t="str">
        <f>VLOOKUP(Результат[[#This Row],[Тип средств]],Таблица4[],2,0)</f>
        <v>Бюджетные средства (Бюджет муниципального образования)</v>
      </c>
      <c r="Y87" t="str">
        <f>VLOOKUP(Результат[[#This Row],[Тип средств]],Таблица4[],3,0)</f>
        <v>Местный бюджет</v>
      </c>
      <c r="Z87" t="str">
        <f>IF(LEFT(Результат[[#This Row],[ЦСР]],2)="06",VLOOKUP(Результат[[#This Row],[ЦСР]],Таблица3[[ЦСР]:[Пункт подпрограммы]],4,0),"")</f>
        <v>1.1.4</v>
      </c>
      <c r="AA8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37" t="str">
        <f t="shared" si="1"/>
        <v>КФКиС</v>
      </c>
    </row>
    <row r="88" spans="1:29" x14ac:dyDescent="0.25">
      <c r="A88" t="s">
        <v>22</v>
      </c>
      <c r="B88">
        <v>1101</v>
      </c>
      <c r="C88" t="s">
        <v>40</v>
      </c>
      <c r="D88">
        <v>611</v>
      </c>
      <c r="E88">
        <v>400010</v>
      </c>
      <c r="F88">
        <v>241</v>
      </c>
      <c r="G88">
        <v>223002</v>
      </c>
      <c r="H88" t="s">
        <v>29</v>
      </c>
      <c r="J88">
        <v>120</v>
      </c>
      <c r="K88">
        <v>272042534</v>
      </c>
      <c r="L88">
        <v>0</v>
      </c>
      <c r="M88">
        <v>0</v>
      </c>
      <c r="N88">
        <v>0</v>
      </c>
      <c r="O88">
        <v>0</v>
      </c>
      <c r="P88">
        <v>0</v>
      </c>
      <c r="Q88">
        <v>0</v>
      </c>
      <c r="R88">
        <v>0</v>
      </c>
      <c r="S88">
        <v>0</v>
      </c>
      <c r="T88">
        <v>200600</v>
      </c>
      <c r="U88">
        <v>200600</v>
      </c>
      <c r="V88">
        <v>-200600</v>
      </c>
      <c r="X88" t="str">
        <f>VLOOKUP(Результат[[#This Row],[Тип средств]],Таблица4[],2,0)</f>
        <v>Бюджетные средства (Бюджет муниципального образования)</v>
      </c>
      <c r="Y88" t="str">
        <f>VLOOKUP(Результат[[#This Row],[Тип средств]],Таблица4[],3,0)</f>
        <v>Местный бюджет</v>
      </c>
      <c r="Z88" t="str">
        <f>IF(LEFT(Результат[[#This Row],[ЦСР]],2)="06",VLOOKUP(Результат[[#This Row],[ЦСР]],Таблица3[[ЦСР]:[Пункт подпрограммы]],4,0),"")</f>
        <v>1.1.4</v>
      </c>
      <c r="AA8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37" t="str">
        <f t="shared" si="1"/>
        <v>КФКиС</v>
      </c>
    </row>
    <row r="89" spans="1:29" x14ac:dyDescent="0.25">
      <c r="A89" t="s">
        <v>22</v>
      </c>
      <c r="B89">
        <v>1101</v>
      </c>
      <c r="C89" t="s">
        <v>40</v>
      </c>
      <c r="D89">
        <v>611</v>
      </c>
      <c r="E89">
        <v>400010</v>
      </c>
      <c r="F89">
        <v>241</v>
      </c>
      <c r="G89">
        <v>223002</v>
      </c>
      <c r="H89" t="s">
        <v>32</v>
      </c>
      <c r="J89">
        <v>120</v>
      </c>
      <c r="K89">
        <v>272042534</v>
      </c>
      <c r="L89">
        <v>0</v>
      </c>
      <c r="M89">
        <v>0</v>
      </c>
      <c r="N89">
        <v>0</v>
      </c>
      <c r="O89">
        <v>0</v>
      </c>
      <c r="P89">
        <v>0</v>
      </c>
      <c r="Q89">
        <v>0</v>
      </c>
      <c r="R89">
        <v>0</v>
      </c>
      <c r="S89">
        <v>4000000</v>
      </c>
      <c r="T89">
        <v>5259200</v>
      </c>
      <c r="U89">
        <v>9259200</v>
      </c>
      <c r="V89">
        <v>-9259200</v>
      </c>
      <c r="X89" t="str">
        <f>VLOOKUP(Результат[[#This Row],[Тип средств]],Таблица4[],2,0)</f>
        <v>Бюджетные средства (Бюджет муниципального образования)</v>
      </c>
      <c r="Y89" t="str">
        <f>VLOOKUP(Результат[[#This Row],[Тип средств]],Таблица4[],3,0)</f>
        <v>Местный бюджет</v>
      </c>
      <c r="Z89" t="str">
        <f>IF(LEFT(Результат[[#This Row],[ЦСР]],2)="06",VLOOKUP(Результат[[#This Row],[ЦСР]],Таблица3[[ЦСР]:[Пункт подпрограммы]],4,0),"")</f>
        <v>1.1.4</v>
      </c>
      <c r="AA8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37" t="str">
        <f t="shared" si="1"/>
        <v>КФКиС</v>
      </c>
    </row>
    <row r="90" spans="1:29" x14ac:dyDescent="0.25">
      <c r="A90" t="s">
        <v>22</v>
      </c>
      <c r="B90">
        <v>1101</v>
      </c>
      <c r="C90" t="s">
        <v>40</v>
      </c>
      <c r="D90">
        <v>611</v>
      </c>
      <c r="E90">
        <v>400010</v>
      </c>
      <c r="F90">
        <v>241</v>
      </c>
      <c r="G90">
        <v>223003</v>
      </c>
      <c r="H90" t="s">
        <v>29</v>
      </c>
      <c r="J90">
        <v>110</v>
      </c>
      <c r="K90">
        <v>272042534</v>
      </c>
      <c r="L90">
        <v>0</v>
      </c>
      <c r="M90">
        <v>0</v>
      </c>
      <c r="N90">
        <v>0</v>
      </c>
      <c r="O90">
        <v>0</v>
      </c>
      <c r="P90">
        <v>0</v>
      </c>
      <c r="Q90">
        <v>80000</v>
      </c>
      <c r="R90">
        <v>80000</v>
      </c>
      <c r="S90">
        <v>65000</v>
      </c>
      <c r="T90">
        <v>75000</v>
      </c>
      <c r="U90">
        <v>300000</v>
      </c>
      <c r="V90">
        <v>-300000</v>
      </c>
      <c r="X90" t="str">
        <f>VLOOKUP(Результат[[#This Row],[Тип средств]],Таблица4[],2,0)</f>
        <v>Бюджетные средства (Бюджет муниципального образования)</v>
      </c>
      <c r="Y90" t="str">
        <f>VLOOKUP(Результат[[#This Row],[Тип средств]],Таблица4[],3,0)</f>
        <v>Местный бюджет</v>
      </c>
      <c r="Z90" t="str">
        <f>IF(LEFT(Результат[[#This Row],[ЦСР]],2)="06",VLOOKUP(Результат[[#This Row],[ЦСР]],Таблица3[[ЦСР]:[Пункт подпрограммы]],4,0),"")</f>
        <v>1.1.4</v>
      </c>
      <c r="AA9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37" t="str">
        <f t="shared" si="1"/>
        <v>КФКиС</v>
      </c>
    </row>
    <row r="91" spans="1:29" x14ac:dyDescent="0.25">
      <c r="A91" t="s">
        <v>22</v>
      </c>
      <c r="B91">
        <v>1101</v>
      </c>
      <c r="C91" t="s">
        <v>40</v>
      </c>
      <c r="D91">
        <v>611</v>
      </c>
      <c r="E91">
        <v>400010</v>
      </c>
      <c r="F91">
        <v>241</v>
      </c>
      <c r="G91">
        <v>223003</v>
      </c>
      <c r="H91" t="s">
        <v>31</v>
      </c>
      <c r="J91">
        <v>110</v>
      </c>
      <c r="K91">
        <v>272042534</v>
      </c>
      <c r="L91">
        <v>0</v>
      </c>
      <c r="M91">
        <v>0</v>
      </c>
      <c r="N91">
        <v>0</v>
      </c>
      <c r="O91">
        <v>0</v>
      </c>
      <c r="P91">
        <v>0</v>
      </c>
      <c r="Q91">
        <v>14000</v>
      </c>
      <c r="R91">
        <v>12000</v>
      </c>
      <c r="S91">
        <v>14000</v>
      </c>
      <c r="T91">
        <v>13100</v>
      </c>
      <c r="U91">
        <v>53100</v>
      </c>
      <c r="V91">
        <v>-53100</v>
      </c>
      <c r="X91" t="str">
        <f>VLOOKUP(Результат[[#This Row],[Тип средств]],Таблица4[],2,0)</f>
        <v>Бюджетные средства (Бюджет муниципального образования)</v>
      </c>
      <c r="Y91" t="str">
        <f>VLOOKUP(Результат[[#This Row],[Тип средств]],Таблица4[],3,0)</f>
        <v>Местный бюджет</v>
      </c>
      <c r="Z91" t="str">
        <f>IF(LEFT(Результат[[#This Row],[ЦСР]],2)="06",VLOOKUP(Результат[[#This Row],[ЦСР]],Таблица3[[ЦСР]:[Пункт подпрограммы]],4,0),"")</f>
        <v>1.1.4</v>
      </c>
      <c r="AA9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37" t="str">
        <f t="shared" si="1"/>
        <v>КФКиС</v>
      </c>
    </row>
    <row r="92" spans="1:29" x14ac:dyDescent="0.25">
      <c r="A92" t="s">
        <v>22</v>
      </c>
      <c r="B92">
        <v>1101</v>
      </c>
      <c r="C92" t="s">
        <v>40</v>
      </c>
      <c r="D92">
        <v>611</v>
      </c>
      <c r="E92">
        <v>400010</v>
      </c>
      <c r="F92">
        <v>241</v>
      </c>
      <c r="G92">
        <v>223003</v>
      </c>
      <c r="H92" t="s">
        <v>24</v>
      </c>
      <c r="J92">
        <v>110</v>
      </c>
      <c r="K92">
        <v>272042534</v>
      </c>
      <c r="L92">
        <v>0</v>
      </c>
      <c r="M92">
        <v>0</v>
      </c>
      <c r="N92">
        <v>0</v>
      </c>
      <c r="O92">
        <v>0</v>
      </c>
      <c r="P92">
        <v>0</v>
      </c>
      <c r="Q92">
        <v>70000</v>
      </c>
      <c r="R92">
        <v>70000</v>
      </c>
      <c r="S92">
        <v>70000</v>
      </c>
      <c r="T92">
        <v>80200</v>
      </c>
      <c r="U92">
        <v>290200</v>
      </c>
      <c r="V92">
        <v>-290200</v>
      </c>
      <c r="X92" t="str">
        <f>VLOOKUP(Результат[[#This Row],[Тип средств]],Таблица4[],2,0)</f>
        <v>Бюджетные средства (Бюджет муниципального образования)</v>
      </c>
      <c r="Y92" t="str">
        <f>VLOOKUP(Результат[[#This Row],[Тип средств]],Таблица4[],3,0)</f>
        <v>Местный бюджет</v>
      </c>
      <c r="Z92" t="str">
        <f>IF(LEFT(Результат[[#This Row],[ЦСР]],2)="06",VLOOKUP(Результат[[#This Row],[ЦСР]],Таблица3[[ЦСР]:[Пункт подпрограммы]],4,0),"")</f>
        <v>1.1.4</v>
      </c>
      <c r="AA9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37" t="str">
        <f t="shared" si="1"/>
        <v>КФКиС</v>
      </c>
    </row>
    <row r="93" spans="1:29" x14ac:dyDescent="0.25">
      <c r="A93" t="s">
        <v>22</v>
      </c>
      <c r="B93">
        <v>1101</v>
      </c>
      <c r="C93" t="s">
        <v>40</v>
      </c>
      <c r="D93">
        <v>611</v>
      </c>
      <c r="E93">
        <v>400010</v>
      </c>
      <c r="F93">
        <v>241</v>
      </c>
      <c r="G93">
        <v>223003</v>
      </c>
      <c r="H93" t="s">
        <v>32</v>
      </c>
      <c r="J93">
        <v>110</v>
      </c>
      <c r="K93">
        <v>272042534</v>
      </c>
      <c r="L93">
        <v>0</v>
      </c>
      <c r="M93">
        <v>0</v>
      </c>
      <c r="N93">
        <v>0</v>
      </c>
      <c r="O93">
        <v>0</v>
      </c>
      <c r="P93">
        <v>0</v>
      </c>
      <c r="Q93">
        <v>450000</v>
      </c>
      <c r="R93">
        <v>450000</v>
      </c>
      <c r="S93">
        <v>300000</v>
      </c>
      <c r="T93">
        <v>0</v>
      </c>
      <c r="U93">
        <v>1200000</v>
      </c>
      <c r="V93">
        <v>-1200000</v>
      </c>
      <c r="X93" t="str">
        <f>VLOOKUP(Результат[[#This Row],[Тип средств]],Таблица4[],2,0)</f>
        <v>Бюджетные средства (Бюджет муниципального образования)</v>
      </c>
      <c r="Y93" t="str">
        <f>VLOOKUP(Результат[[#This Row],[Тип средств]],Таблица4[],3,0)</f>
        <v>Местный бюджет</v>
      </c>
      <c r="Z93" t="str">
        <f>IF(LEFT(Результат[[#This Row],[ЦСР]],2)="06",VLOOKUP(Результат[[#This Row],[ЦСР]],Таблица3[[ЦСР]:[Пункт подпрограммы]],4,0),"")</f>
        <v>1.1.4</v>
      </c>
      <c r="AA9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37" t="str">
        <f t="shared" si="1"/>
        <v>КФКиС</v>
      </c>
    </row>
    <row r="94" spans="1:29" x14ac:dyDescent="0.25">
      <c r="A94" t="s">
        <v>22</v>
      </c>
      <c r="B94">
        <v>1101</v>
      </c>
      <c r="C94" t="s">
        <v>40</v>
      </c>
      <c r="D94">
        <v>611</v>
      </c>
      <c r="E94">
        <v>400010</v>
      </c>
      <c r="F94">
        <v>241</v>
      </c>
      <c r="G94">
        <v>223003</v>
      </c>
      <c r="H94" t="s">
        <v>29</v>
      </c>
      <c r="J94">
        <v>120</v>
      </c>
      <c r="K94">
        <v>272042534</v>
      </c>
      <c r="L94">
        <v>0</v>
      </c>
      <c r="M94">
        <v>0</v>
      </c>
      <c r="N94">
        <v>0</v>
      </c>
      <c r="O94">
        <v>0</v>
      </c>
      <c r="P94">
        <v>0</v>
      </c>
      <c r="Q94">
        <v>0</v>
      </c>
      <c r="R94">
        <v>0</v>
      </c>
      <c r="S94">
        <v>0</v>
      </c>
      <c r="T94">
        <v>24100</v>
      </c>
      <c r="U94">
        <v>24100</v>
      </c>
      <c r="V94">
        <v>-24100</v>
      </c>
      <c r="X94" t="str">
        <f>VLOOKUP(Результат[[#This Row],[Тип средств]],Таблица4[],2,0)</f>
        <v>Бюджетные средства (Бюджет муниципального образования)</v>
      </c>
      <c r="Y94" t="str">
        <f>VLOOKUP(Результат[[#This Row],[Тип средств]],Таблица4[],3,0)</f>
        <v>Местный бюджет</v>
      </c>
      <c r="Z94" t="str">
        <f>IF(LEFT(Результат[[#This Row],[ЦСР]],2)="06",VLOOKUP(Результат[[#This Row],[ЦСР]],Таблица3[[ЦСР]:[Пункт подпрограммы]],4,0),"")</f>
        <v>1.1.4</v>
      </c>
      <c r="AA9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37" t="str">
        <f t="shared" si="1"/>
        <v>КФКиС</v>
      </c>
    </row>
    <row r="95" spans="1:29" x14ac:dyDescent="0.25">
      <c r="A95" t="s">
        <v>22</v>
      </c>
      <c r="B95">
        <v>1101</v>
      </c>
      <c r="C95" t="s">
        <v>40</v>
      </c>
      <c r="D95">
        <v>611</v>
      </c>
      <c r="E95">
        <v>400010</v>
      </c>
      <c r="F95">
        <v>241</v>
      </c>
      <c r="G95">
        <v>223003</v>
      </c>
      <c r="H95" t="s">
        <v>32</v>
      </c>
      <c r="J95">
        <v>120</v>
      </c>
      <c r="K95">
        <v>272042534</v>
      </c>
      <c r="L95">
        <v>0</v>
      </c>
      <c r="M95">
        <v>0</v>
      </c>
      <c r="N95">
        <v>0</v>
      </c>
      <c r="O95">
        <v>0</v>
      </c>
      <c r="P95">
        <v>0</v>
      </c>
      <c r="Q95">
        <v>0</v>
      </c>
      <c r="R95">
        <v>0</v>
      </c>
      <c r="S95">
        <v>850000</v>
      </c>
      <c r="T95">
        <v>1117400</v>
      </c>
      <c r="U95">
        <v>1967400</v>
      </c>
      <c r="V95">
        <v>-1967400</v>
      </c>
      <c r="X95" t="str">
        <f>VLOOKUP(Результат[[#This Row],[Тип средств]],Таблица4[],2,0)</f>
        <v>Бюджетные средства (Бюджет муниципального образования)</v>
      </c>
      <c r="Y95" t="str">
        <f>VLOOKUP(Результат[[#This Row],[Тип средств]],Таблица4[],3,0)</f>
        <v>Местный бюджет</v>
      </c>
      <c r="Z95" t="str">
        <f>IF(LEFT(Результат[[#This Row],[ЦСР]],2)="06",VLOOKUP(Результат[[#This Row],[ЦСР]],Таблица3[[ЦСР]:[Пункт подпрограммы]],4,0),"")</f>
        <v>1.1.4</v>
      </c>
      <c r="AA9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37" t="str">
        <f t="shared" si="1"/>
        <v>КФКиС</v>
      </c>
    </row>
    <row r="96" spans="1:29" x14ac:dyDescent="0.25">
      <c r="A96" t="s">
        <v>22</v>
      </c>
      <c r="B96">
        <v>1101</v>
      </c>
      <c r="C96" t="s">
        <v>40</v>
      </c>
      <c r="D96">
        <v>611</v>
      </c>
      <c r="E96">
        <v>400010</v>
      </c>
      <c r="F96">
        <v>241</v>
      </c>
      <c r="G96">
        <v>223006</v>
      </c>
      <c r="H96" t="s">
        <v>29</v>
      </c>
      <c r="J96">
        <v>110</v>
      </c>
      <c r="K96">
        <v>272042534</v>
      </c>
      <c r="L96">
        <v>0</v>
      </c>
      <c r="M96">
        <v>0</v>
      </c>
      <c r="N96">
        <v>0</v>
      </c>
      <c r="O96">
        <v>0</v>
      </c>
      <c r="P96">
        <v>0</v>
      </c>
      <c r="Q96">
        <v>26000</v>
      </c>
      <c r="R96">
        <v>33500</v>
      </c>
      <c r="S96">
        <v>0</v>
      </c>
      <c r="T96">
        <v>0</v>
      </c>
      <c r="U96">
        <v>59500</v>
      </c>
      <c r="V96">
        <v>-59500</v>
      </c>
      <c r="X96" t="str">
        <f>VLOOKUP(Результат[[#This Row],[Тип средств]],Таблица4[],2,0)</f>
        <v>Бюджетные средства (Бюджет муниципального образования)</v>
      </c>
      <c r="Y96" t="str">
        <f>VLOOKUP(Результат[[#This Row],[Тип средств]],Таблица4[],3,0)</f>
        <v>Местный бюджет</v>
      </c>
      <c r="Z96" t="str">
        <f>IF(LEFT(Результат[[#This Row],[ЦСР]],2)="06",VLOOKUP(Результат[[#This Row],[ЦСР]],Таблица3[[ЦСР]:[Пункт подпрограммы]],4,0),"")</f>
        <v>1.1.4</v>
      </c>
      <c r="AA9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37" t="str">
        <f t="shared" si="1"/>
        <v>КФКиС</v>
      </c>
    </row>
    <row r="97" spans="1:29" x14ac:dyDescent="0.25">
      <c r="A97" t="s">
        <v>22</v>
      </c>
      <c r="B97">
        <v>1101</v>
      </c>
      <c r="C97" t="s">
        <v>40</v>
      </c>
      <c r="D97">
        <v>611</v>
      </c>
      <c r="E97">
        <v>400010</v>
      </c>
      <c r="F97">
        <v>241</v>
      </c>
      <c r="G97">
        <v>223006</v>
      </c>
      <c r="H97" t="s">
        <v>31</v>
      </c>
      <c r="J97">
        <v>110</v>
      </c>
      <c r="K97">
        <v>272042534</v>
      </c>
      <c r="L97">
        <v>0</v>
      </c>
      <c r="M97">
        <v>0</v>
      </c>
      <c r="N97">
        <v>0</v>
      </c>
      <c r="O97">
        <v>0</v>
      </c>
      <c r="P97">
        <v>0</v>
      </c>
      <c r="Q97">
        <v>13200</v>
      </c>
      <c r="R97">
        <v>18000</v>
      </c>
      <c r="S97">
        <v>18000</v>
      </c>
      <c r="T97">
        <v>22500</v>
      </c>
      <c r="U97">
        <v>71700</v>
      </c>
      <c r="V97">
        <v>-71700</v>
      </c>
      <c r="X97" t="str">
        <f>VLOOKUP(Результат[[#This Row],[Тип средств]],Таблица4[],2,0)</f>
        <v>Бюджетные средства (Бюджет муниципального образования)</v>
      </c>
      <c r="Y97" t="str">
        <f>VLOOKUP(Результат[[#This Row],[Тип средств]],Таблица4[],3,0)</f>
        <v>Местный бюджет</v>
      </c>
      <c r="Z97" t="str">
        <f>IF(LEFT(Результат[[#This Row],[ЦСР]],2)="06",VLOOKUP(Результат[[#This Row],[ЦСР]],Таблица3[[ЦСР]:[Пункт подпрограммы]],4,0),"")</f>
        <v>1.1.4</v>
      </c>
      <c r="AA9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37" t="str">
        <f t="shared" si="1"/>
        <v>КФКиС</v>
      </c>
    </row>
    <row r="98" spans="1:29" x14ac:dyDescent="0.25">
      <c r="A98" t="s">
        <v>22</v>
      </c>
      <c r="B98">
        <v>1101</v>
      </c>
      <c r="C98" t="s">
        <v>40</v>
      </c>
      <c r="D98">
        <v>611</v>
      </c>
      <c r="E98">
        <v>400010</v>
      </c>
      <c r="F98">
        <v>241</v>
      </c>
      <c r="G98">
        <v>223006</v>
      </c>
      <c r="H98" t="s">
        <v>24</v>
      </c>
      <c r="J98">
        <v>110</v>
      </c>
      <c r="K98">
        <v>272042534</v>
      </c>
      <c r="L98">
        <v>0</v>
      </c>
      <c r="M98">
        <v>0</v>
      </c>
      <c r="N98">
        <v>0</v>
      </c>
      <c r="O98">
        <v>0</v>
      </c>
      <c r="P98">
        <v>0</v>
      </c>
      <c r="Q98">
        <v>12000</v>
      </c>
      <c r="R98">
        <v>18000</v>
      </c>
      <c r="S98">
        <v>18000</v>
      </c>
      <c r="T98">
        <v>12600</v>
      </c>
      <c r="U98">
        <v>60600</v>
      </c>
      <c r="V98">
        <v>-60600</v>
      </c>
      <c r="X98" t="str">
        <f>VLOOKUP(Результат[[#This Row],[Тип средств]],Таблица4[],2,0)</f>
        <v>Бюджетные средства (Бюджет муниципального образования)</v>
      </c>
      <c r="Y98" t="str">
        <f>VLOOKUP(Результат[[#This Row],[Тип средств]],Таблица4[],3,0)</f>
        <v>Местный бюджет</v>
      </c>
      <c r="Z98" t="str">
        <f>IF(LEFT(Результат[[#This Row],[ЦСР]],2)="06",VLOOKUP(Результат[[#This Row],[ЦСР]],Таблица3[[ЦСР]:[Пункт подпрограммы]],4,0),"")</f>
        <v>1.1.4</v>
      </c>
      <c r="AA9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37" t="str">
        <f t="shared" si="1"/>
        <v>КФКиС</v>
      </c>
    </row>
    <row r="99" spans="1:29" x14ac:dyDescent="0.25">
      <c r="A99" t="s">
        <v>22</v>
      </c>
      <c r="B99">
        <v>1101</v>
      </c>
      <c r="C99" t="s">
        <v>40</v>
      </c>
      <c r="D99">
        <v>611</v>
      </c>
      <c r="E99">
        <v>400010</v>
      </c>
      <c r="F99">
        <v>241</v>
      </c>
      <c r="G99">
        <v>223006</v>
      </c>
      <c r="H99" t="s">
        <v>32</v>
      </c>
      <c r="J99">
        <v>110</v>
      </c>
      <c r="K99">
        <v>272042534</v>
      </c>
      <c r="L99">
        <v>0</v>
      </c>
      <c r="M99">
        <v>0</v>
      </c>
      <c r="N99">
        <v>0</v>
      </c>
      <c r="O99">
        <v>0</v>
      </c>
      <c r="P99">
        <v>0</v>
      </c>
      <c r="Q99">
        <v>115000</v>
      </c>
      <c r="R99">
        <v>76700</v>
      </c>
      <c r="S99">
        <v>35000</v>
      </c>
      <c r="T99">
        <v>0</v>
      </c>
      <c r="U99">
        <v>226700</v>
      </c>
      <c r="V99">
        <v>-226700</v>
      </c>
      <c r="X99" t="str">
        <f>VLOOKUP(Результат[[#This Row],[Тип средств]],Таблица4[],2,0)</f>
        <v>Бюджетные средства (Бюджет муниципального образования)</v>
      </c>
      <c r="Y99" t="str">
        <f>VLOOKUP(Результат[[#This Row],[Тип средств]],Таблица4[],3,0)</f>
        <v>Местный бюджет</v>
      </c>
      <c r="Z99" t="str">
        <f>IF(LEFT(Результат[[#This Row],[ЦСР]],2)="06",VLOOKUP(Результат[[#This Row],[ЦСР]],Таблица3[[ЦСР]:[Пункт подпрограммы]],4,0),"")</f>
        <v>1.1.4</v>
      </c>
      <c r="AA9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37" t="str">
        <f t="shared" si="1"/>
        <v>КФКиС</v>
      </c>
    </row>
    <row r="100" spans="1:29" x14ac:dyDescent="0.25">
      <c r="A100" t="s">
        <v>22</v>
      </c>
      <c r="B100">
        <v>1101</v>
      </c>
      <c r="C100" t="s">
        <v>40</v>
      </c>
      <c r="D100">
        <v>611</v>
      </c>
      <c r="E100">
        <v>400010</v>
      </c>
      <c r="F100">
        <v>241</v>
      </c>
      <c r="G100">
        <v>223006</v>
      </c>
      <c r="H100" t="s">
        <v>29</v>
      </c>
      <c r="J100">
        <v>120</v>
      </c>
      <c r="K100">
        <v>272042534</v>
      </c>
      <c r="L100">
        <v>0</v>
      </c>
      <c r="M100">
        <v>0</v>
      </c>
      <c r="N100">
        <v>0</v>
      </c>
      <c r="O100">
        <v>0</v>
      </c>
      <c r="P100">
        <v>0</v>
      </c>
      <c r="Q100">
        <v>0</v>
      </c>
      <c r="R100">
        <v>4500</v>
      </c>
      <c r="S100">
        <v>38000</v>
      </c>
      <c r="T100">
        <v>49200</v>
      </c>
      <c r="U100">
        <v>91700</v>
      </c>
      <c r="V100">
        <v>-91700</v>
      </c>
      <c r="X100" t="str">
        <f>VLOOKUP(Результат[[#This Row],[Тип средств]],Таблица4[],2,0)</f>
        <v>Бюджетные средства (Бюджет муниципального образования)</v>
      </c>
      <c r="Y100" t="str">
        <f>VLOOKUP(Результат[[#This Row],[Тип средств]],Таблица4[],3,0)</f>
        <v>Местный бюджет</v>
      </c>
      <c r="Z100" t="str">
        <f>IF(LEFT(Результат[[#This Row],[ЦСР]],2)="06",VLOOKUP(Результат[[#This Row],[ЦСР]],Таблица3[[ЦСР]:[Пункт подпрограммы]],4,0),"")</f>
        <v>1.1.4</v>
      </c>
      <c r="AA10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37" t="str">
        <f t="shared" si="1"/>
        <v>КФКиС</v>
      </c>
    </row>
    <row r="101" spans="1:29" x14ac:dyDescent="0.25">
      <c r="A101" t="s">
        <v>22</v>
      </c>
      <c r="B101">
        <v>1101</v>
      </c>
      <c r="C101" t="s">
        <v>40</v>
      </c>
      <c r="D101">
        <v>611</v>
      </c>
      <c r="E101">
        <v>400010</v>
      </c>
      <c r="F101">
        <v>241</v>
      </c>
      <c r="G101">
        <v>223006</v>
      </c>
      <c r="H101" t="s">
        <v>32</v>
      </c>
      <c r="J101">
        <v>120</v>
      </c>
      <c r="K101">
        <v>272042534</v>
      </c>
      <c r="L101">
        <v>0</v>
      </c>
      <c r="M101">
        <v>0</v>
      </c>
      <c r="N101">
        <v>0</v>
      </c>
      <c r="O101">
        <v>0</v>
      </c>
      <c r="P101">
        <v>0</v>
      </c>
      <c r="Q101">
        <v>0</v>
      </c>
      <c r="R101">
        <v>0</v>
      </c>
      <c r="S101">
        <v>150000</v>
      </c>
      <c r="T101">
        <v>229700</v>
      </c>
      <c r="U101">
        <v>379700</v>
      </c>
      <c r="V101">
        <v>-379700</v>
      </c>
      <c r="X101" t="str">
        <f>VLOOKUP(Результат[[#This Row],[Тип средств]],Таблица4[],2,0)</f>
        <v>Бюджетные средства (Бюджет муниципального образования)</v>
      </c>
      <c r="Y101" t="str">
        <f>VLOOKUP(Результат[[#This Row],[Тип средств]],Таблица4[],3,0)</f>
        <v>Местный бюджет</v>
      </c>
      <c r="Z101" t="str">
        <f>IF(LEFT(Результат[[#This Row],[ЦСР]],2)="06",VLOOKUP(Результат[[#This Row],[ЦСР]],Таблица3[[ЦСР]:[Пункт подпрограммы]],4,0),"")</f>
        <v>1.1.4</v>
      </c>
      <c r="AA10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37" t="str">
        <f t="shared" si="1"/>
        <v>КФКиС</v>
      </c>
    </row>
    <row r="102" spans="1:29" x14ac:dyDescent="0.25">
      <c r="A102" t="s">
        <v>22</v>
      </c>
      <c r="B102">
        <v>1101</v>
      </c>
      <c r="C102" t="s">
        <v>40</v>
      </c>
      <c r="D102">
        <v>611</v>
      </c>
      <c r="E102">
        <v>400010</v>
      </c>
      <c r="F102">
        <v>241</v>
      </c>
      <c r="G102">
        <v>225001</v>
      </c>
      <c r="H102" t="s">
        <v>24</v>
      </c>
      <c r="J102">
        <v>110</v>
      </c>
      <c r="K102">
        <v>272042534</v>
      </c>
      <c r="L102">
        <v>0</v>
      </c>
      <c r="M102">
        <v>0</v>
      </c>
      <c r="N102">
        <v>0</v>
      </c>
      <c r="O102">
        <v>0</v>
      </c>
      <c r="P102">
        <v>0</v>
      </c>
      <c r="Q102">
        <v>0</v>
      </c>
      <c r="R102">
        <v>33300</v>
      </c>
      <c r="S102">
        <v>0</v>
      </c>
      <c r="T102">
        <v>0</v>
      </c>
      <c r="U102">
        <v>33300</v>
      </c>
      <c r="V102">
        <v>-33300</v>
      </c>
      <c r="X102" t="str">
        <f>VLOOKUP(Результат[[#This Row],[Тип средств]],Таблица4[],2,0)</f>
        <v>Бюджетные средства (Бюджет муниципального образования)</v>
      </c>
      <c r="Y102" t="str">
        <f>VLOOKUP(Результат[[#This Row],[Тип средств]],Таблица4[],3,0)</f>
        <v>Местный бюджет</v>
      </c>
      <c r="Z102" t="str">
        <f>IF(LEFT(Результат[[#This Row],[ЦСР]],2)="06",VLOOKUP(Результат[[#This Row],[ЦСР]],Таблица3[[ЦСР]:[Пункт подпрограммы]],4,0),"")</f>
        <v>1.1.4</v>
      </c>
      <c r="AA10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37" t="str">
        <f t="shared" si="1"/>
        <v>КФКиС</v>
      </c>
    </row>
    <row r="103" spans="1:29" x14ac:dyDescent="0.25">
      <c r="A103" t="s">
        <v>22</v>
      </c>
      <c r="B103">
        <v>1101</v>
      </c>
      <c r="C103" t="s">
        <v>40</v>
      </c>
      <c r="D103">
        <v>611</v>
      </c>
      <c r="E103">
        <v>400010</v>
      </c>
      <c r="F103">
        <v>241</v>
      </c>
      <c r="G103">
        <v>225001</v>
      </c>
      <c r="H103" t="s">
        <v>29</v>
      </c>
      <c r="J103">
        <v>120</v>
      </c>
      <c r="K103">
        <v>272042534</v>
      </c>
      <c r="L103">
        <v>0</v>
      </c>
      <c r="M103">
        <v>0</v>
      </c>
      <c r="N103">
        <v>0</v>
      </c>
      <c r="O103">
        <v>0</v>
      </c>
      <c r="P103">
        <v>0</v>
      </c>
      <c r="Q103">
        <v>0</v>
      </c>
      <c r="R103">
        <v>0</v>
      </c>
      <c r="S103">
        <v>0</v>
      </c>
      <c r="T103">
        <v>30500</v>
      </c>
      <c r="U103">
        <v>30500</v>
      </c>
      <c r="V103">
        <v>-30500</v>
      </c>
      <c r="X103" t="str">
        <f>VLOOKUP(Результат[[#This Row],[Тип средств]],Таблица4[],2,0)</f>
        <v>Бюджетные средства (Бюджет муниципального образования)</v>
      </c>
      <c r="Y103" t="str">
        <f>VLOOKUP(Результат[[#This Row],[Тип средств]],Таблица4[],3,0)</f>
        <v>Местный бюджет</v>
      </c>
      <c r="Z103" t="str">
        <f>IF(LEFT(Результат[[#This Row],[ЦСР]],2)="06",VLOOKUP(Результат[[#This Row],[ЦСР]],Таблица3[[ЦСР]:[Пункт подпрограммы]],4,0),"")</f>
        <v>1.1.4</v>
      </c>
      <c r="AA10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37" t="str">
        <f t="shared" si="1"/>
        <v>КФКиС</v>
      </c>
    </row>
    <row r="104" spans="1:29" x14ac:dyDescent="0.25">
      <c r="A104" t="s">
        <v>22</v>
      </c>
      <c r="B104">
        <v>1101</v>
      </c>
      <c r="C104" t="s">
        <v>40</v>
      </c>
      <c r="D104">
        <v>611</v>
      </c>
      <c r="E104">
        <v>400010</v>
      </c>
      <c r="F104">
        <v>241</v>
      </c>
      <c r="G104">
        <v>225003</v>
      </c>
      <c r="H104" t="s">
        <v>29</v>
      </c>
      <c r="J104">
        <v>110</v>
      </c>
      <c r="K104">
        <v>272042534</v>
      </c>
      <c r="L104">
        <v>0</v>
      </c>
      <c r="M104">
        <v>0</v>
      </c>
      <c r="N104">
        <v>0</v>
      </c>
      <c r="O104">
        <v>0</v>
      </c>
      <c r="P104">
        <v>0</v>
      </c>
      <c r="Q104">
        <v>57546</v>
      </c>
      <c r="R104">
        <v>0</v>
      </c>
      <c r="S104">
        <v>0</v>
      </c>
      <c r="T104">
        <v>0</v>
      </c>
      <c r="U104">
        <v>57546</v>
      </c>
      <c r="V104">
        <v>-57546</v>
      </c>
      <c r="X104" t="str">
        <f>VLOOKUP(Результат[[#This Row],[Тип средств]],Таблица4[],2,0)</f>
        <v>Бюджетные средства (Бюджет муниципального образования)</v>
      </c>
      <c r="Y104" t="str">
        <f>VLOOKUP(Результат[[#This Row],[Тип средств]],Таблица4[],3,0)</f>
        <v>Местный бюджет</v>
      </c>
      <c r="Z104" t="str">
        <f>IF(LEFT(Результат[[#This Row],[ЦСР]],2)="06",VLOOKUP(Результат[[#This Row],[ЦСР]],Таблица3[[ЦСР]:[Пункт подпрограммы]],4,0),"")</f>
        <v>1.1.4</v>
      </c>
      <c r="AA10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37" t="str">
        <f t="shared" si="1"/>
        <v>КФКиС</v>
      </c>
    </row>
    <row r="105" spans="1:29" x14ac:dyDescent="0.25">
      <c r="A105" t="s">
        <v>22</v>
      </c>
      <c r="B105">
        <v>1101</v>
      </c>
      <c r="C105" t="s">
        <v>40</v>
      </c>
      <c r="D105">
        <v>611</v>
      </c>
      <c r="E105">
        <v>400010</v>
      </c>
      <c r="F105">
        <v>241</v>
      </c>
      <c r="G105">
        <v>225003</v>
      </c>
      <c r="H105" t="s">
        <v>31</v>
      </c>
      <c r="J105">
        <v>110</v>
      </c>
      <c r="K105">
        <v>272042534</v>
      </c>
      <c r="L105">
        <v>0</v>
      </c>
      <c r="M105">
        <v>0</v>
      </c>
      <c r="N105">
        <v>0</v>
      </c>
      <c r="O105">
        <v>0</v>
      </c>
      <c r="P105">
        <v>0</v>
      </c>
      <c r="Q105">
        <v>12578</v>
      </c>
      <c r="R105">
        <v>0</v>
      </c>
      <c r="S105">
        <v>0</v>
      </c>
      <c r="T105">
        <v>0</v>
      </c>
      <c r="U105">
        <v>12578</v>
      </c>
      <c r="V105">
        <v>-12578</v>
      </c>
      <c r="X105" t="str">
        <f>VLOOKUP(Результат[[#This Row],[Тип средств]],Таблица4[],2,0)</f>
        <v>Бюджетные средства (Бюджет муниципального образования)</v>
      </c>
      <c r="Y105" t="str">
        <f>VLOOKUP(Результат[[#This Row],[Тип средств]],Таблица4[],3,0)</f>
        <v>Местный бюджет</v>
      </c>
      <c r="Z105" t="str">
        <f>IF(LEFT(Результат[[#This Row],[ЦСР]],2)="06",VLOOKUP(Результат[[#This Row],[ЦСР]],Таблица3[[ЦСР]:[Пункт подпрограммы]],4,0),"")</f>
        <v>1.1.4</v>
      </c>
      <c r="AA10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37" t="str">
        <f t="shared" si="1"/>
        <v>КФКиС</v>
      </c>
    </row>
    <row r="106" spans="1:29" x14ac:dyDescent="0.25">
      <c r="A106" t="s">
        <v>22</v>
      </c>
      <c r="B106">
        <v>1101</v>
      </c>
      <c r="C106" t="s">
        <v>40</v>
      </c>
      <c r="D106">
        <v>611</v>
      </c>
      <c r="E106">
        <v>400010</v>
      </c>
      <c r="F106">
        <v>241</v>
      </c>
      <c r="G106">
        <v>225003</v>
      </c>
      <c r="H106" t="s">
        <v>24</v>
      </c>
      <c r="J106">
        <v>110</v>
      </c>
      <c r="K106">
        <v>272042534</v>
      </c>
      <c r="L106">
        <v>0</v>
      </c>
      <c r="M106">
        <v>0</v>
      </c>
      <c r="N106">
        <v>0</v>
      </c>
      <c r="O106">
        <v>0</v>
      </c>
      <c r="P106">
        <v>0</v>
      </c>
      <c r="Q106">
        <v>250000</v>
      </c>
      <c r="R106">
        <v>0</v>
      </c>
      <c r="S106">
        <v>0</v>
      </c>
      <c r="T106">
        <v>188400</v>
      </c>
      <c r="U106">
        <v>438400</v>
      </c>
      <c r="V106">
        <v>-438400</v>
      </c>
      <c r="X106" t="str">
        <f>VLOOKUP(Результат[[#This Row],[Тип средств]],Таблица4[],2,0)</f>
        <v>Бюджетные средства (Бюджет муниципального образования)</v>
      </c>
      <c r="Y106" t="str">
        <f>VLOOKUP(Результат[[#This Row],[Тип средств]],Таблица4[],3,0)</f>
        <v>Местный бюджет</v>
      </c>
      <c r="Z106" t="str">
        <f>IF(LEFT(Результат[[#This Row],[ЦСР]],2)="06",VLOOKUP(Результат[[#This Row],[ЦСР]],Таблица3[[ЦСР]:[Пункт подпрограммы]],4,0),"")</f>
        <v>1.1.4</v>
      </c>
      <c r="AA10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37" t="str">
        <f t="shared" si="1"/>
        <v>КФКиС</v>
      </c>
    </row>
    <row r="107" spans="1:29" x14ac:dyDescent="0.25">
      <c r="A107" t="s">
        <v>22</v>
      </c>
      <c r="B107">
        <v>1101</v>
      </c>
      <c r="C107" t="s">
        <v>40</v>
      </c>
      <c r="D107">
        <v>611</v>
      </c>
      <c r="E107">
        <v>400010</v>
      </c>
      <c r="F107">
        <v>241</v>
      </c>
      <c r="G107">
        <v>225003</v>
      </c>
      <c r="H107" t="s">
        <v>32</v>
      </c>
      <c r="J107">
        <v>110</v>
      </c>
      <c r="K107">
        <v>272042534</v>
      </c>
      <c r="L107">
        <v>0</v>
      </c>
      <c r="M107">
        <v>0</v>
      </c>
      <c r="N107">
        <v>0</v>
      </c>
      <c r="O107">
        <v>0</v>
      </c>
      <c r="P107">
        <v>0</v>
      </c>
      <c r="Q107">
        <v>3000000</v>
      </c>
      <c r="R107">
        <v>1500000</v>
      </c>
      <c r="S107">
        <v>1500000</v>
      </c>
      <c r="T107">
        <v>1910643</v>
      </c>
      <c r="U107">
        <v>7910643</v>
      </c>
      <c r="V107">
        <v>-7910643</v>
      </c>
      <c r="X107" t="str">
        <f>VLOOKUP(Результат[[#This Row],[Тип средств]],Таблица4[],2,0)</f>
        <v>Бюджетные средства (Бюджет муниципального образования)</v>
      </c>
      <c r="Y107" t="str">
        <f>VLOOKUP(Результат[[#This Row],[Тип средств]],Таблица4[],3,0)</f>
        <v>Местный бюджет</v>
      </c>
      <c r="Z107" t="str">
        <f>IF(LEFT(Результат[[#This Row],[ЦСР]],2)="06",VLOOKUP(Результат[[#This Row],[ЦСР]],Таблица3[[ЦСР]:[Пункт подпрограммы]],4,0),"")</f>
        <v>1.1.4</v>
      </c>
      <c r="AA10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37" t="str">
        <f t="shared" si="1"/>
        <v>КФКиС</v>
      </c>
    </row>
    <row r="108" spans="1:29" x14ac:dyDescent="0.25">
      <c r="A108" t="s">
        <v>22</v>
      </c>
      <c r="B108">
        <v>1101</v>
      </c>
      <c r="C108" t="s">
        <v>40</v>
      </c>
      <c r="D108">
        <v>611</v>
      </c>
      <c r="E108">
        <v>400010</v>
      </c>
      <c r="F108">
        <v>241</v>
      </c>
      <c r="G108">
        <v>225003</v>
      </c>
      <c r="H108" t="s">
        <v>29</v>
      </c>
      <c r="J108">
        <v>120</v>
      </c>
      <c r="K108">
        <v>272042534</v>
      </c>
      <c r="L108">
        <v>0</v>
      </c>
      <c r="M108">
        <v>0</v>
      </c>
      <c r="N108">
        <v>0</v>
      </c>
      <c r="O108">
        <v>0</v>
      </c>
      <c r="P108">
        <v>0</v>
      </c>
      <c r="Q108">
        <v>19054</v>
      </c>
      <c r="R108">
        <v>14400</v>
      </c>
      <c r="S108">
        <v>14400</v>
      </c>
      <c r="T108">
        <v>86100</v>
      </c>
      <c r="U108">
        <v>133954</v>
      </c>
      <c r="V108">
        <v>-133954</v>
      </c>
      <c r="X108" t="str">
        <f>VLOOKUP(Результат[[#This Row],[Тип средств]],Таблица4[],2,0)</f>
        <v>Бюджетные средства (Бюджет муниципального образования)</v>
      </c>
      <c r="Y108" t="str">
        <f>VLOOKUP(Результат[[#This Row],[Тип средств]],Таблица4[],3,0)</f>
        <v>Местный бюджет</v>
      </c>
      <c r="Z108" t="str">
        <f>IF(LEFT(Результат[[#This Row],[ЦСР]],2)="06",VLOOKUP(Результат[[#This Row],[ЦСР]],Таблица3[[ЦСР]:[Пункт подпрограммы]],4,0),"")</f>
        <v>1.1.4</v>
      </c>
      <c r="AA10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37" t="str">
        <f t="shared" si="1"/>
        <v>КФКиС</v>
      </c>
    </row>
    <row r="109" spans="1:29" x14ac:dyDescent="0.25">
      <c r="A109" t="s">
        <v>22</v>
      </c>
      <c r="B109">
        <v>1101</v>
      </c>
      <c r="C109" t="s">
        <v>40</v>
      </c>
      <c r="D109">
        <v>611</v>
      </c>
      <c r="E109">
        <v>400010</v>
      </c>
      <c r="F109">
        <v>241</v>
      </c>
      <c r="G109">
        <v>225003</v>
      </c>
      <c r="H109" t="s">
        <v>31</v>
      </c>
      <c r="J109">
        <v>120</v>
      </c>
      <c r="K109">
        <v>272042534</v>
      </c>
      <c r="L109">
        <v>0</v>
      </c>
      <c r="M109">
        <v>0</v>
      </c>
      <c r="N109">
        <v>0</v>
      </c>
      <c r="O109">
        <v>0</v>
      </c>
      <c r="P109">
        <v>0</v>
      </c>
      <c r="Q109">
        <v>13629</v>
      </c>
      <c r="R109">
        <v>68635</v>
      </c>
      <c r="S109">
        <v>3145</v>
      </c>
      <c r="T109">
        <v>29513</v>
      </c>
      <c r="U109">
        <v>114922</v>
      </c>
      <c r="V109">
        <v>-114922</v>
      </c>
      <c r="X109" t="str">
        <f>VLOOKUP(Результат[[#This Row],[Тип средств]],Таблица4[],2,0)</f>
        <v>Бюджетные средства (Бюджет муниципального образования)</v>
      </c>
      <c r="Y109" t="str">
        <f>VLOOKUP(Результат[[#This Row],[Тип средств]],Таблица4[],3,0)</f>
        <v>Местный бюджет</v>
      </c>
      <c r="Z109" t="str">
        <f>IF(LEFT(Результат[[#This Row],[ЦСР]],2)="06",VLOOKUP(Результат[[#This Row],[ЦСР]],Таблица3[[ЦСР]:[Пункт подпрограммы]],4,0),"")</f>
        <v>1.1.4</v>
      </c>
      <c r="AA10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37" t="str">
        <f t="shared" si="1"/>
        <v>КФКиС</v>
      </c>
    </row>
    <row r="110" spans="1:29" x14ac:dyDescent="0.25">
      <c r="A110" t="s">
        <v>22</v>
      </c>
      <c r="B110">
        <v>1101</v>
      </c>
      <c r="C110" t="s">
        <v>40</v>
      </c>
      <c r="D110">
        <v>611</v>
      </c>
      <c r="E110">
        <v>400010</v>
      </c>
      <c r="F110">
        <v>241</v>
      </c>
      <c r="G110">
        <v>225003</v>
      </c>
      <c r="H110" t="s">
        <v>24</v>
      </c>
      <c r="J110">
        <v>120</v>
      </c>
      <c r="K110">
        <v>272042534</v>
      </c>
      <c r="L110">
        <v>0</v>
      </c>
      <c r="M110">
        <v>0</v>
      </c>
      <c r="N110">
        <v>0</v>
      </c>
      <c r="O110">
        <v>0</v>
      </c>
      <c r="P110">
        <v>0</v>
      </c>
      <c r="Q110">
        <v>0</v>
      </c>
      <c r="R110">
        <v>140000</v>
      </c>
      <c r="S110">
        <v>70000</v>
      </c>
      <c r="T110">
        <v>66900</v>
      </c>
      <c r="U110">
        <v>276900</v>
      </c>
      <c r="V110">
        <v>-276900</v>
      </c>
      <c r="X110" t="str">
        <f>VLOOKUP(Результат[[#This Row],[Тип средств]],Таблица4[],2,0)</f>
        <v>Бюджетные средства (Бюджет муниципального образования)</v>
      </c>
      <c r="Y110" t="str">
        <f>VLOOKUP(Результат[[#This Row],[Тип средств]],Таблица4[],3,0)</f>
        <v>Местный бюджет</v>
      </c>
      <c r="Z110" t="str">
        <f>IF(LEFT(Результат[[#This Row],[ЦСР]],2)="06",VLOOKUP(Результат[[#This Row],[ЦСР]],Таблица3[[ЦСР]:[Пункт подпрограммы]],4,0),"")</f>
        <v>1.1.4</v>
      </c>
      <c r="AA11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37" t="str">
        <f t="shared" si="1"/>
        <v>КФКиС</v>
      </c>
    </row>
    <row r="111" spans="1:29" x14ac:dyDescent="0.25">
      <c r="A111" t="s">
        <v>22</v>
      </c>
      <c r="B111">
        <v>1101</v>
      </c>
      <c r="C111" t="s">
        <v>40</v>
      </c>
      <c r="D111">
        <v>611</v>
      </c>
      <c r="E111">
        <v>400010</v>
      </c>
      <c r="F111">
        <v>241</v>
      </c>
      <c r="G111">
        <v>225003</v>
      </c>
      <c r="H111" t="s">
        <v>32</v>
      </c>
      <c r="J111">
        <v>120</v>
      </c>
      <c r="K111">
        <v>272042534</v>
      </c>
      <c r="L111">
        <v>0</v>
      </c>
      <c r="M111">
        <v>0</v>
      </c>
      <c r="N111">
        <v>0</v>
      </c>
      <c r="O111">
        <v>0</v>
      </c>
      <c r="P111">
        <v>0</v>
      </c>
      <c r="Q111">
        <v>165000</v>
      </c>
      <c r="R111">
        <v>250000</v>
      </c>
      <c r="S111">
        <v>250000</v>
      </c>
      <c r="T111">
        <v>303557</v>
      </c>
      <c r="U111">
        <v>968557</v>
      </c>
      <c r="V111">
        <v>-968557</v>
      </c>
      <c r="X111" t="str">
        <f>VLOOKUP(Результат[[#This Row],[Тип средств]],Таблица4[],2,0)</f>
        <v>Бюджетные средства (Бюджет муниципального образования)</v>
      </c>
      <c r="Y111" t="str">
        <f>VLOOKUP(Результат[[#This Row],[Тип средств]],Таблица4[],3,0)</f>
        <v>Местный бюджет</v>
      </c>
      <c r="Z111" t="str">
        <f>IF(LEFT(Результат[[#This Row],[ЦСР]],2)="06",VLOOKUP(Результат[[#This Row],[ЦСР]],Таблица3[[ЦСР]:[Пункт подпрограммы]],4,0),"")</f>
        <v>1.1.4</v>
      </c>
      <c r="AA11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37" t="str">
        <f t="shared" si="1"/>
        <v>КФКиС</v>
      </c>
    </row>
    <row r="112" spans="1:29" x14ac:dyDescent="0.25">
      <c r="A112" t="s">
        <v>22</v>
      </c>
      <c r="B112">
        <v>1101</v>
      </c>
      <c r="C112" t="s">
        <v>40</v>
      </c>
      <c r="D112">
        <v>611</v>
      </c>
      <c r="E112">
        <v>400010</v>
      </c>
      <c r="F112">
        <v>241</v>
      </c>
      <c r="G112">
        <v>225004</v>
      </c>
      <c r="H112" t="s">
        <v>29</v>
      </c>
      <c r="J112">
        <v>110</v>
      </c>
      <c r="K112">
        <v>272042534</v>
      </c>
      <c r="L112">
        <v>0</v>
      </c>
      <c r="M112">
        <v>0</v>
      </c>
      <c r="N112">
        <v>0</v>
      </c>
      <c r="O112">
        <v>0</v>
      </c>
      <c r="P112">
        <v>0</v>
      </c>
      <c r="Q112">
        <v>118000</v>
      </c>
      <c r="R112">
        <v>177000</v>
      </c>
      <c r="S112">
        <v>177000</v>
      </c>
      <c r="T112">
        <v>236000</v>
      </c>
      <c r="U112">
        <v>708000</v>
      </c>
      <c r="V112">
        <v>-708000</v>
      </c>
      <c r="X112" t="str">
        <f>VLOOKUP(Результат[[#This Row],[Тип средств]],Таблица4[],2,0)</f>
        <v>Бюджетные средства (Бюджет муниципального образования)</v>
      </c>
      <c r="Y112" t="str">
        <f>VLOOKUP(Результат[[#This Row],[Тип средств]],Таблица4[],3,0)</f>
        <v>Местный бюджет</v>
      </c>
      <c r="Z112" t="str">
        <f>IF(LEFT(Результат[[#This Row],[ЦСР]],2)="06",VLOOKUP(Результат[[#This Row],[ЦСР]],Таблица3[[ЦСР]:[Пункт подпрограммы]],4,0),"")</f>
        <v>1.1.4</v>
      </c>
      <c r="AA1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37" t="str">
        <f t="shared" si="1"/>
        <v>КФКиС</v>
      </c>
    </row>
    <row r="113" spans="1:29" x14ac:dyDescent="0.25">
      <c r="A113" t="s">
        <v>22</v>
      </c>
      <c r="B113">
        <v>1101</v>
      </c>
      <c r="C113" t="s">
        <v>40</v>
      </c>
      <c r="D113">
        <v>611</v>
      </c>
      <c r="E113">
        <v>400010</v>
      </c>
      <c r="F113">
        <v>241</v>
      </c>
      <c r="G113">
        <v>225004</v>
      </c>
      <c r="H113" t="s">
        <v>31</v>
      </c>
      <c r="J113">
        <v>110</v>
      </c>
      <c r="K113">
        <v>272042534</v>
      </c>
      <c r="L113">
        <v>0</v>
      </c>
      <c r="M113">
        <v>0</v>
      </c>
      <c r="N113">
        <v>0</v>
      </c>
      <c r="O113">
        <v>0</v>
      </c>
      <c r="P113">
        <v>0</v>
      </c>
      <c r="Q113">
        <v>57380</v>
      </c>
      <c r="R113">
        <v>86070</v>
      </c>
      <c r="S113">
        <v>62870</v>
      </c>
      <c r="T113">
        <v>114780</v>
      </c>
      <c r="U113">
        <v>321100</v>
      </c>
      <c r="V113">
        <v>-321100</v>
      </c>
      <c r="X113" t="str">
        <f>VLOOKUP(Результат[[#This Row],[Тип средств]],Таблица4[],2,0)</f>
        <v>Бюджетные средства (Бюджет муниципального образования)</v>
      </c>
      <c r="Y113" t="str">
        <f>VLOOKUP(Результат[[#This Row],[Тип средств]],Таблица4[],3,0)</f>
        <v>Местный бюджет</v>
      </c>
      <c r="Z113" t="str">
        <f>IF(LEFT(Результат[[#This Row],[ЦСР]],2)="06",VLOOKUP(Результат[[#This Row],[ЦСР]],Таблица3[[ЦСР]:[Пункт подпрограммы]],4,0),"")</f>
        <v>1.1.4</v>
      </c>
      <c r="AA11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37" t="str">
        <f t="shared" si="1"/>
        <v>КФКиС</v>
      </c>
    </row>
    <row r="114" spans="1:29" x14ac:dyDescent="0.25">
      <c r="A114" t="s">
        <v>22</v>
      </c>
      <c r="B114">
        <v>1101</v>
      </c>
      <c r="C114" t="s">
        <v>40</v>
      </c>
      <c r="D114">
        <v>611</v>
      </c>
      <c r="E114">
        <v>400010</v>
      </c>
      <c r="F114">
        <v>241</v>
      </c>
      <c r="G114">
        <v>225004</v>
      </c>
      <c r="H114" t="s">
        <v>24</v>
      </c>
      <c r="J114">
        <v>110</v>
      </c>
      <c r="K114">
        <v>272042534</v>
      </c>
      <c r="L114">
        <v>0</v>
      </c>
      <c r="M114">
        <v>0</v>
      </c>
      <c r="N114">
        <v>0</v>
      </c>
      <c r="O114">
        <v>0</v>
      </c>
      <c r="P114">
        <v>0</v>
      </c>
      <c r="Q114">
        <v>350000</v>
      </c>
      <c r="R114">
        <v>350000</v>
      </c>
      <c r="S114">
        <v>350000</v>
      </c>
      <c r="T114">
        <v>429600</v>
      </c>
      <c r="U114">
        <v>1479600</v>
      </c>
      <c r="V114">
        <v>-1479600</v>
      </c>
      <c r="X114" t="str">
        <f>VLOOKUP(Результат[[#This Row],[Тип средств]],Таблица4[],2,0)</f>
        <v>Бюджетные средства (Бюджет муниципального образования)</v>
      </c>
      <c r="Y114" t="str">
        <f>VLOOKUP(Результат[[#This Row],[Тип средств]],Таблица4[],3,0)</f>
        <v>Местный бюджет</v>
      </c>
      <c r="Z114" t="str">
        <f>IF(LEFT(Результат[[#This Row],[ЦСР]],2)="06",VLOOKUP(Результат[[#This Row],[ЦСР]],Таблица3[[ЦСР]:[Пункт подпрограммы]],4,0),"")</f>
        <v>1.1.4</v>
      </c>
      <c r="AA11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37" t="str">
        <f t="shared" si="1"/>
        <v>КФКиС</v>
      </c>
    </row>
    <row r="115" spans="1:29" x14ac:dyDescent="0.25">
      <c r="A115" t="s">
        <v>22</v>
      </c>
      <c r="B115">
        <v>1101</v>
      </c>
      <c r="C115" t="s">
        <v>40</v>
      </c>
      <c r="D115">
        <v>611</v>
      </c>
      <c r="E115">
        <v>400010</v>
      </c>
      <c r="F115">
        <v>241</v>
      </c>
      <c r="G115">
        <v>225004</v>
      </c>
      <c r="H115" t="s">
        <v>32</v>
      </c>
      <c r="J115">
        <v>110</v>
      </c>
      <c r="K115">
        <v>272042534</v>
      </c>
      <c r="L115">
        <v>0</v>
      </c>
      <c r="M115">
        <v>0</v>
      </c>
      <c r="N115">
        <v>0</v>
      </c>
      <c r="O115">
        <v>0</v>
      </c>
      <c r="P115">
        <v>0</v>
      </c>
      <c r="Q115">
        <v>2000000</v>
      </c>
      <c r="R115">
        <v>3080000</v>
      </c>
      <c r="S115">
        <v>3080000</v>
      </c>
      <c r="T115">
        <v>2625192</v>
      </c>
      <c r="U115">
        <v>10785192</v>
      </c>
      <c r="V115">
        <v>-10785192</v>
      </c>
      <c r="X115" t="str">
        <f>VLOOKUP(Результат[[#This Row],[Тип средств]],Таблица4[],2,0)</f>
        <v>Бюджетные средства (Бюджет муниципального образования)</v>
      </c>
      <c r="Y115" t="str">
        <f>VLOOKUP(Результат[[#This Row],[Тип средств]],Таблица4[],3,0)</f>
        <v>Местный бюджет</v>
      </c>
      <c r="Z115" t="str">
        <f>IF(LEFT(Результат[[#This Row],[ЦСР]],2)="06",VLOOKUP(Результат[[#This Row],[ЦСР]],Таблица3[[ЦСР]:[Пункт подпрограммы]],4,0),"")</f>
        <v>1.1.4</v>
      </c>
      <c r="AA11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37" t="str">
        <f t="shared" si="1"/>
        <v>КФКиС</v>
      </c>
    </row>
    <row r="116" spans="1:29" x14ac:dyDescent="0.25">
      <c r="A116" t="s">
        <v>22</v>
      </c>
      <c r="B116">
        <v>1101</v>
      </c>
      <c r="C116" t="s">
        <v>40</v>
      </c>
      <c r="D116">
        <v>611</v>
      </c>
      <c r="E116">
        <v>400010</v>
      </c>
      <c r="F116">
        <v>241</v>
      </c>
      <c r="G116">
        <v>225004</v>
      </c>
      <c r="H116" t="s">
        <v>29</v>
      </c>
      <c r="J116">
        <v>120</v>
      </c>
      <c r="K116">
        <v>272042534</v>
      </c>
      <c r="L116">
        <v>0</v>
      </c>
      <c r="M116">
        <v>0</v>
      </c>
      <c r="N116">
        <v>0</v>
      </c>
      <c r="O116">
        <v>0</v>
      </c>
      <c r="P116">
        <v>0</v>
      </c>
      <c r="Q116">
        <v>117700</v>
      </c>
      <c r="R116">
        <v>0</v>
      </c>
      <c r="S116">
        <v>213600</v>
      </c>
      <c r="T116">
        <v>0</v>
      </c>
      <c r="U116">
        <v>331300</v>
      </c>
      <c r="V116">
        <v>-331300</v>
      </c>
      <c r="X116" t="str">
        <f>VLOOKUP(Результат[[#This Row],[Тип средств]],Таблица4[],2,0)</f>
        <v>Бюджетные средства (Бюджет муниципального образования)</v>
      </c>
      <c r="Y116" t="str">
        <f>VLOOKUP(Результат[[#This Row],[Тип средств]],Таблица4[],3,0)</f>
        <v>Местный бюджет</v>
      </c>
      <c r="Z116" t="str">
        <f>IF(LEFT(Результат[[#This Row],[ЦСР]],2)="06",VLOOKUP(Результат[[#This Row],[ЦСР]],Таблица3[[ЦСР]:[Пункт подпрограммы]],4,0),"")</f>
        <v>1.1.4</v>
      </c>
      <c r="AA11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37" t="str">
        <f t="shared" si="1"/>
        <v>КФКиС</v>
      </c>
    </row>
    <row r="117" spans="1:29" x14ac:dyDescent="0.25">
      <c r="A117" t="s">
        <v>22</v>
      </c>
      <c r="B117">
        <v>1101</v>
      </c>
      <c r="C117" t="s">
        <v>40</v>
      </c>
      <c r="D117">
        <v>611</v>
      </c>
      <c r="E117">
        <v>400010</v>
      </c>
      <c r="F117">
        <v>241</v>
      </c>
      <c r="G117">
        <v>225004</v>
      </c>
      <c r="H117" t="s">
        <v>24</v>
      </c>
      <c r="J117">
        <v>120</v>
      </c>
      <c r="K117">
        <v>272042534</v>
      </c>
      <c r="L117">
        <v>0</v>
      </c>
      <c r="M117">
        <v>0</v>
      </c>
      <c r="N117">
        <v>0</v>
      </c>
      <c r="O117">
        <v>0</v>
      </c>
      <c r="P117">
        <v>0</v>
      </c>
      <c r="Q117">
        <v>170000</v>
      </c>
      <c r="R117">
        <v>180000</v>
      </c>
      <c r="S117">
        <v>170000</v>
      </c>
      <c r="T117">
        <v>182700</v>
      </c>
      <c r="U117">
        <v>702700</v>
      </c>
      <c r="V117">
        <v>-702700</v>
      </c>
      <c r="X117" t="str">
        <f>VLOOKUP(Результат[[#This Row],[Тип средств]],Таблица4[],2,0)</f>
        <v>Бюджетные средства (Бюджет муниципального образования)</v>
      </c>
      <c r="Y117" t="str">
        <f>VLOOKUP(Результат[[#This Row],[Тип средств]],Таблица4[],3,0)</f>
        <v>Местный бюджет</v>
      </c>
      <c r="Z117" t="str">
        <f>IF(LEFT(Результат[[#This Row],[ЦСР]],2)="06",VLOOKUP(Результат[[#This Row],[ЦСР]],Таблица3[[ЦСР]:[Пункт подпрограммы]],4,0),"")</f>
        <v>1.1.4</v>
      </c>
      <c r="AA11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37" t="str">
        <f t="shared" si="1"/>
        <v>КФКиС</v>
      </c>
    </row>
    <row r="118" spans="1:29" x14ac:dyDescent="0.25">
      <c r="A118" t="s">
        <v>22</v>
      </c>
      <c r="B118">
        <v>1101</v>
      </c>
      <c r="C118" t="s">
        <v>40</v>
      </c>
      <c r="D118">
        <v>611</v>
      </c>
      <c r="E118">
        <v>400010</v>
      </c>
      <c r="F118">
        <v>241</v>
      </c>
      <c r="G118">
        <v>225004</v>
      </c>
      <c r="H118" t="s">
        <v>32</v>
      </c>
      <c r="J118">
        <v>120</v>
      </c>
      <c r="K118">
        <v>272042534</v>
      </c>
      <c r="L118">
        <v>0</v>
      </c>
      <c r="M118">
        <v>0</v>
      </c>
      <c r="N118">
        <v>0</v>
      </c>
      <c r="O118">
        <v>0</v>
      </c>
      <c r="P118">
        <v>0</v>
      </c>
      <c r="Q118">
        <v>0</v>
      </c>
      <c r="R118">
        <v>0</v>
      </c>
      <c r="S118">
        <v>0</v>
      </c>
      <c r="T118">
        <v>1237308</v>
      </c>
      <c r="U118">
        <v>1237308</v>
      </c>
      <c r="V118">
        <v>-1237308</v>
      </c>
      <c r="X118" t="str">
        <f>VLOOKUP(Результат[[#This Row],[Тип средств]],Таблица4[],2,0)</f>
        <v>Бюджетные средства (Бюджет муниципального образования)</v>
      </c>
      <c r="Y118" t="str">
        <f>VLOOKUP(Результат[[#This Row],[Тип средств]],Таблица4[],3,0)</f>
        <v>Местный бюджет</v>
      </c>
      <c r="Z118" t="str">
        <f>IF(LEFT(Результат[[#This Row],[ЦСР]],2)="06",VLOOKUP(Результат[[#This Row],[ЦСР]],Таблица3[[ЦСР]:[Пункт подпрограммы]],4,0),"")</f>
        <v>1.1.4</v>
      </c>
      <c r="AA11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37" t="str">
        <f t="shared" si="1"/>
        <v>КФКиС</v>
      </c>
    </row>
    <row r="119" spans="1:29" x14ac:dyDescent="0.25">
      <c r="A119" t="s">
        <v>22</v>
      </c>
      <c r="B119">
        <v>1101</v>
      </c>
      <c r="C119" t="s">
        <v>40</v>
      </c>
      <c r="D119">
        <v>611</v>
      </c>
      <c r="E119">
        <v>400010</v>
      </c>
      <c r="F119">
        <v>241</v>
      </c>
      <c r="G119">
        <v>225005</v>
      </c>
      <c r="H119" t="s">
        <v>29</v>
      </c>
      <c r="J119">
        <v>110</v>
      </c>
      <c r="K119">
        <v>272042534</v>
      </c>
      <c r="L119">
        <v>0</v>
      </c>
      <c r="M119">
        <v>0</v>
      </c>
      <c r="N119">
        <v>0</v>
      </c>
      <c r="O119">
        <v>0</v>
      </c>
      <c r="P119">
        <v>0</v>
      </c>
      <c r="Q119">
        <v>49500</v>
      </c>
      <c r="R119">
        <v>0</v>
      </c>
      <c r="S119">
        <v>74300</v>
      </c>
      <c r="T119">
        <v>119200</v>
      </c>
      <c r="U119">
        <v>243000</v>
      </c>
      <c r="V119">
        <v>-243000</v>
      </c>
      <c r="X119" t="str">
        <f>VLOOKUP(Результат[[#This Row],[Тип средств]],Таблица4[],2,0)</f>
        <v>Бюджетные средства (Бюджет муниципального образования)</v>
      </c>
      <c r="Y119" t="str">
        <f>VLOOKUP(Результат[[#This Row],[Тип средств]],Таблица4[],3,0)</f>
        <v>Местный бюджет</v>
      </c>
      <c r="Z119" t="str">
        <f>IF(LEFT(Результат[[#This Row],[ЦСР]],2)="06",VLOOKUP(Результат[[#This Row],[ЦСР]],Таблица3[[ЦСР]:[Пункт подпрограммы]],4,0),"")</f>
        <v>1.1.4</v>
      </c>
      <c r="AA11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37" t="str">
        <f t="shared" si="1"/>
        <v>КФКиС</v>
      </c>
    </row>
    <row r="120" spans="1:29" x14ac:dyDescent="0.25">
      <c r="A120" t="s">
        <v>22</v>
      </c>
      <c r="B120">
        <v>1101</v>
      </c>
      <c r="C120" t="s">
        <v>40</v>
      </c>
      <c r="D120">
        <v>611</v>
      </c>
      <c r="E120">
        <v>400010</v>
      </c>
      <c r="F120">
        <v>241</v>
      </c>
      <c r="G120">
        <v>225005</v>
      </c>
      <c r="H120" t="s">
        <v>31</v>
      </c>
      <c r="J120">
        <v>110</v>
      </c>
      <c r="K120">
        <v>272042534</v>
      </c>
      <c r="L120">
        <v>0</v>
      </c>
      <c r="M120">
        <v>0</v>
      </c>
      <c r="N120">
        <v>0</v>
      </c>
      <c r="O120">
        <v>0</v>
      </c>
      <c r="P120">
        <v>0</v>
      </c>
      <c r="Q120">
        <v>31726</v>
      </c>
      <c r="R120">
        <v>47589</v>
      </c>
      <c r="S120">
        <v>47589</v>
      </c>
      <c r="T120">
        <v>63496</v>
      </c>
      <c r="U120">
        <v>190400</v>
      </c>
      <c r="V120">
        <v>-190400</v>
      </c>
      <c r="X120" t="str">
        <f>VLOOKUP(Результат[[#This Row],[Тип средств]],Таблица4[],2,0)</f>
        <v>Бюджетные средства (Бюджет муниципального образования)</v>
      </c>
      <c r="Y120" t="str">
        <f>VLOOKUP(Результат[[#This Row],[Тип средств]],Таблица4[],3,0)</f>
        <v>Местный бюджет</v>
      </c>
      <c r="Z120" t="str">
        <f>IF(LEFT(Результат[[#This Row],[ЦСР]],2)="06",VLOOKUP(Результат[[#This Row],[ЦСР]],Таблица3[[ЦСР]:[Пункт подпрограммы]],4,0),"")</f>
        <v>1.1.4</v>
      </c>
      <c r="AA12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37" t="str">
        <f t="shared" si="1"/>
        <v>КФКиС</v>
      </c>
    </row>
    <row r="121" spans="1:29" x14ac:dyDescent="0.25">
      <c r="A121" t="s">
        <v>22</v>
      </c>
      <c r="B121">
        <v>1101</v>
      </c>
      <c r="C121" t="s">
        <v>40</v>
      </c>
      <c r="D121">
        <v>611</v>
      </c>
      <c r="E121">
        <v>400010</v>
      </c>
      <c r="F121">
        <v>241</v>
      </c>
      <c r="G121">
        <v>225005</v>
      </c>
      <c r="H121" t="s">
        <v>24</v>
      </c>
      <c r="J121">
        <v>110</v>
      </c>
      <c r="K121">
        <v>272042534</v>
      </c>
      <c r="L121">
        <v>0</v>
      </c>
      <c r="M121">
        <v>0</v>
      </c>
      <c r="N121">
        <v>0</v>
      </c>
      <c r="O121">
        <v>0</v>
      </c>
      <c r="P121">
        <v>0</v>
      </c>
      <c r="Q121">
        <v>170000</v>
      </c>
      <c r="R121">
        <v>190000</v>
      </c>
      <c r="S121">
        <v>190000</v>
      </c>
      <c r="T121">
        <v>207709</v>
      </c>
      <c r="U121">
        <v>757709</v>
      </c>
      <c r="V121">
        <v>-757709</v>
      </c>
      <c r="X121" t="str">
        <f>VLOOKUP(Результат[[#This Row],[Тип средств]],Таблица4[],2,0)</f>
        <v>Бюджетные средства (Бюджет муниципального образования)</v>
      </c>
      <c r="Y121" t="str">
        <f>VLOOKUP(Результат[[#This Row],[Тип средств]],Таблица4[],3,0)</f>
        <v>Местный бюджет</v>
      </c>
      <c r="Z121" t="str">
        <f>IF(LEFT(Результат[[#This Row],[ЦСР]],2)="06",VLOOKUP(Результат[[#This Row],[ЦСР]],Таблица3[[ЦСР]:[Пункт подпрограммы]],4,0),"")</f>
        <v>1.1.4</v>
      </c>
      <c r="AA12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37" t="str">
        <f t="shared" si="1"/>
        <v>КФКиС</v>
      </c>
    </row>
    <row r="122" spans="1:29" x14ac:dyDescent="0.25">
      <c r="A122" t="s">
        <v>22</v>
      </c>
      <c r="B122">
        <v>1101</v>
      </c>
      <c r="C122" t="s">
        <v>40</v>
      </c>
      <c r="D122">
        <v>611</v>
      </c>
      <c r="E122">
        <v>400010</v>
      </c>
      <c r="F122">
        <v>241</v>
      </c>
      <c r="G122">
        <v>225005</v>
      </c>
      <c r="H122" t="s">
        <v>32</v>
      </c>
      <c r="J122">
        <v>110</v>
      </c>
      <c r="K122">
        <v>272042534</v>
      </c>
      <c r="L122">
        <v>0</v>
      </c>
      <c r="M122">
        <v>0</v>
      </c>
      <c r="N122">
        <v>0</v>
      </c>
      <c r="O122">
        <v>0</v>
      </c>
      <c r="P122">
        <v>0</v>
      </c>
      <c r="Q122">
        <v>300000</v>
      </c>
      <c r="R122">
        <v>450000</v>
      </c>
      <c r="S122">
        <v>450000</v>
      </c>
      <c r="T122">
        <v>581100</v>
      </c>
      <c r="U122">
        <v>1781100</v>
      </c>
      <c r="V122">
        <v>-1781100</v>
      </c>
      <c r="X122" t="str">
        <f>VLOOKUP(Результат[[#This Row],[Тип средств]],Таблица4[],2,0)</f>
        <v>Бюджетные средства (Бюджет муниципального образования)</v>
      </c>
      <c r="Y122" t="str">
        <f>VLOOKUP(Результат[[#This Row],[Тип средств]],Таблица4[],3,0)</f>
        <v>Местный бюджет</v>
      </c>
      <c r="Z122" t="str">
        <f>IF(LEFT(Результат[[#This Row],[ЦСР]],2)="06",VLOOKUP(Результат[[#This Row],[ЦСР]],Таблица3[[ЦСР]:[Пункт подпрограммы]],4,0),"")</f>
        <v>1.1.4</v>
      </c>
      <c r="AA12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37" t="str">
        <f t="shared" si="1"/>
        <v>КФКиС</v>
      </c>
    </row>
    <row r="123" spans="1:29" x14ac:dyDescent="0.25">
      <c r="A123" t="s">
        <v>22</v>
      </c>
      <c r="B123">
        <v>1101</v>
      </c>
      <c r="C123" t="s">
        <v>40</v>
      </c>
      <c r="D123">
        <v>611</v>
      </c>
      <c r="E123">
        <v>400010</v>
      </c>
      <c r="F123">
        <v>241</v>
      </c>
      <c r="G123">
        <v>225005</v>
      </c>
      <c r="H123" t="s">
        <v>29</v>
      </c>
      <c r="J123">
        <v>120</v>
      </c>
      <c r="K123">
        <v>272042534</v>
      </c>
      <c r="L123">
        <v>0</v>
      </c>
      <c r="M123">
        <v>0</v>
      </c>
      <c r="N123">
        <v>0</v>
      </c>
      <c r="O123">
        <v>0</v>
      </c>
      <c r="P123">
        <v>0</v>
      </c>
      <c r="Q123">
        <v>0</v>
      </c>
      <c r="R123">
        <v>160830</v>
      </c>
      <c r="S123">
        <v>0</v>
      </c>
      <c r="T123">
        <v>108870</v>
      </c>
      <c r="U123">
        <v>269700</v>
      </c>
      <c r="V123">
        <v>-269700</v>
      </c>
      <c r="X123" t="str">
        <f>VLOOKUP(Результат[[#This Row],[Тип средств]],Таблица4[],2,0)</f>
        <v>Бюджетные средства (Бюджет муниципального образования)</v>
      </c>
      <c r="Y123" t="str">
        <f>VLOOKUP(Результат[[#This Row],[Тип средств]],Таблица4[],3,0)</f>
        <v>Местный бюджет</v>
      </c>
      <c r="Z123" t="str">
        <f>IF(LEFT(Результат[[#This Row],[ЦСР]],2)="06",VLOOKUP(Результат[[#This Row],[ЦСР]],Таблица3[[ЦСР]:[Пункт подпрограммы]],4,0),"")</f>
        <v>1.1.4</v>
      </c>
      <c r="AA12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37" t="str">
        <f t="shared" si="1"/>
        <v>КФКиС</v>
      </c>
    </row>
    <row r="124" spans="1:29" x14ac:dyDescent="0.25">
      <c r="A124" t="s">
        <v>22</v>
      </c>
      <c r="B124">
        <v>1101</v>
      </c>
      <c r="C124" t="s">
        <v>40</v>
      </c>
      <c r="D124">
        <v>611</v>
      </c>
      <c r="E124">
        <v>400010</v>
      </c>
      <c r="F124">
        <v>241</v>
      </c>
      <c r="G124">
        <v>225005</v>
      </c>
      <c r="H124" t="s">
        <v>24</v>
      </c>
      <c r="J124">
        <v>120</v>
      </c>
      <c r="K124">
        <v>272042534</v>
      </c>
      <c r="L124">
        <v>0</v>
      </c>
      <c r="M124">
        <v>0</v>
      </c>
      <c r="N124">
        <v>0</v>
      </c>
      <c r="O124">
        <v>0</v>
      </c>
      <c r="P124">
        <v>0</v>
      </c>
      <c r="Q124">
        <v>120000</v>
      </c>
      <c r="R124">
        <v>120000</v>
      </c>
      <c r="S124">
        <v>120000</v>
      </c>
      <c r="T124">
        <v>129791</v>
      </c>
      <c r="U124">
        <v>489791</v>
      </c>
      <c r="V124">
        <v>-489791</v>
      </c>
      <c r="X124" t="str">
        <f>VLOOKUP(Результат[[#This Row],[Тип средств]],Таблица4[],2,0)</f>
        <v>Бюджетные средства (Бюджет муниципального образования)</v>
      </c>
      <c r="Y124" t="str">
        <f>VLOOKUP(Результат[[#This Row],[Тип средств]],Таблица4[],3,0)</f>
        <v>Местный бюджет</v>
      </c>
      <c r="Z124" t="str">
        <f>IF(LEFT(Результат[[#This Row],[ЦСР]],2)="06",VLOOKUP(Результат[[#This Row],[ЦСР]],Таблица3[[ЦСР]:[Пункт подпрограммы]],4,0),"")</f>
        <v>1.1.4</v>
      </c>
      <c r="AA12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37" t="str">
        <f t="shared" si="1"/>
        <v>КФКиС</v>
      </c>
    </row>
    <row r="125" spans="1:29" x14ac:dyDescent="0.25">
      <c r="A125" t="s">
        <v>22</v>
      </c>
      <c r="B125">
        <v>1101</v>
      </c>
      <c r="C125" t="s">
        <v>40</v>
      </c>
      <c r="D125">
        <v>611</v>
      </c>
      <c r="E125">
        <v>400010</v>
      </c>
      <c r="F125">
        <v>241</v>
      </c>
      <c r="G125">
        <v>225005</v>
      </c>
      <c r="H125" t="s">
        <v>32</v>
      </c>
      <c r="J125">
        <v>120</v>
      </c>
      <c r="K125">
        <v>272042534</v>
      </c>
      <c r="L125">
        <v>0</v>
      </c>
      <c r="M125">
        <v>0</v>
      </c>
      <c r="N125">
        <v>0</v>
      </c>
      <c r="O125">
        <v>0</v>
      </c>
      <c r="P125">
        <v>0</v>
      </c>
      <c r="Q125">
        <v>109000</v>
      </c>
      <c r="R125">
        <v>165000</v>
      </c>
      <c r="S125">
        <v>165000</v>
      </c>
      <c r="T125">
        <v>213900</v>
      </c>
      <c r="U125">
        <v>652900</v>
      </c>
      <c r="V125">
        <v>-652900</v>
      </c>
      <c r="X125" t="str">
        <f>VLOOKUP(Результат[[#This Row],[Тип средств]],Таблица4[],2,0)</f>
        <v>Бюджетные средства (Бюджет муниципального образования)</v>
      </c>
      <c r="Y125" t="str">
        <f>VLOOKUP(Результат[[#This Row],[Тип средств]],Таблица4[],3,0)</f>
        <v>Местный бюджет</v>
      </c>
      <c r="Z125" t="str">
        <f>IF(LEFT(Результат[[#This Row],[ЦСР]],2)="06",VLOOKUP(Результат[[#This Row],[ЦСР]],Таблица3[[ЦСР]:[Пункт подпрограммы]],4,0),"")</f>
        <v>1.1.4</v>
      </c>
      <c r="AA12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37" t="str">
        <f t="shared" si="1"/>
        <v>КФКиС</v>
      </c>
    </row>
    <row r="126" spans="1:29" x14ac:dyDescent="0.25">
      <c r="A126" t="s">
        <v>22</v>
      </c>
      <c r="B126">
        <v>1101</v>
      </c>
      <c r="C126" t="s">
        <v>40</v>
      </c>
      <c r="D126">
        <v>611</v>
      </c>
      <c r="E126">
        <v>400010</v>
      </c>
      <c r="F126">
        <v>241</v>
      </c>
      <c r="G126">
        <v>226002</v>
      </c>
      <c r="H126" t="s">
        <v>31</v>
      </c>
      <c r="J126">
        <v>110</v>
      </c>
      <c r="K126">
        <v>272042535</v>
      </c>
      <c r="L126">
        <v>0</v>
      </c>
      <c r="M126">
        <v>0</v>
      </c>
      <c r="N126">
        <v>0</v>
      </c>
      <c r="O126">
        <v>0</v>
      </c>
      <c r="P126">
        <v>0</v>
      </c>
      <c r="Q126">
        <v>100000</v>
      </c>
      <c r="R126">
        <v>0</v>
      </c>
      <c r="S126">
        <v>0</v>
      </c>
      <c r="T126">
        <v>0</v>
      </c>
      <c r="U126">
        <v>100000</v>
      </c>
      <c r="V126">
        <v>-100000</v>
      </c>
      <c r="X126" t="str">
        <f>VLOOKUP(Результат[[#This Row],[Тип средств]],Таблица4[],2,0)</f>
        <v>Бюджетные средства (Бюджет муниципального образования)</v>
      </c>
      <c r="Y126" t="str">
        <f>VLOOKUP(Результат[[#This Row],[Тип средств]],Таблица4[],3,0)</f>
        <v>Местный бюджет</v>
      </c>
      <c r="Z126" t="str">
        <f>IF(LEFT(Результат[[#This Row],[ЦСР]],2)="06",VLOOKUP(Результат[[#This Row],[ЦСР]],Таблица3[[ЦСР]:[Пункт подпрограммы]],4,0),"")</f>
        <v>1.1.4</v>
      </c>
      <c r="AA12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37" t="str">
        <f t="shared" si="1"/>
        <v>КФКиС</v>
      </c>
    </row>
    <row r="127" spans="1:29" x14ac:dyDescent="0.25">
      <c r="A127" t="s">
        <v>22</v>
      </c>
      <c r="B127">
        <v>1101</v>
      </c>
      <c r="C127" t="s">
        <v>40</v>
      </c>
      <c r="D127">
        <v>611</v>
      </c>
      <c r="E127">
        <v>400010</v>
      </c>
      <c r="F127">
        <v>241</v>
      </c>
      <c r="G127">
        <v>226002</v>
      </c>
      <c r="H127" t="s">
        <v>29</v>
      </c>
      <c r="J127">
        <v>120</v>
      </c>
      <c r="K127">
        <v>272042535</v>
      </c>
      <c r="L127">
        <v>0</v>
      </c>
      <c r="M127">
        <v>0</v>
      </c>
      <c r="N127">
        <v>0</v>
      </c>
      <c r="O127">
        <v>0</v>
      </c>
      <c r="P127">
        <v>0</v>
      </c>
      <c r="Q127">
        <v>0</v>
      </c>
      <c r="R127">
        <v>20400</v>
      </c>
      <c r="S127">
        <v>0</v>
      </c>
      <c r="T127">
        <v>20400</v>
      </c>
      <c r="U127">
        <v>40800</v>
      </c>
      <c r="V127">
        <v>-40800</v>
      </c>
      <c r="X127" t="str">
        <f>VLOOKUP(Результат[[#This Row],[Тип средств]],Таблица4[],2,0)</f>
        <v>Бюджетные средства (Бюджет муниципального образования)</v>
      </c>
      <c r="Y127" t="str">
        <f>VLOOKUP(Результат[[#This Row],[Тип средств]],Таблица4[],3,0)</f>
        <v>Местный бюджет</v>
      </c>
      <c r="Z127" t="str">
        <f>IF(LEFT(Результат[[#This Row],[ЦСР]],2)="06",VLOOKUP(Результат[[#This Row],[ЦСР]],Таблица3[[ЦСР]:[Пункт подпрограммы]],4,0),"")</f>
        <v>1.1.4</v>
      </c>
      <c r="AA1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37" t="str">
        <f t="shared" si="1"/>
        <v>КФКиС</v>
      </c>
    </row>
    <row r="128" spans="1:29" x14ac:dyDescent="0.25">
      <c r="A128" t="s">
        <v>22</v>
      </c>
      <c r="B128">
        <v>1101</v>
      </c>
      <c r="C128" t="s">
        <v>40</v>
      </c>
      <c r="D128">
        <v>611</v>
      </c>
      <c r="E128">
        <v>400010</v>
      </c>
      <c r="F128">
        <v>241</v>
      </c>
      <c r="G128">
        <v>226002</v>
      </c>
      <c r="H128" t="s">
        <v>31</v>
      </c>
      <c r="J128">
        <v>120</v>
      </c>
      <c r="K128">
        <v>272042535</v>
      </c>
      <c r="L128">
        <v>0</v>
      </c>
      <c r="M128">
        <v>0</v>
      </c>
      <c r="N128">
        <v>0</v>
      </c>
      <c r="O128">
        <v>0</v>
      </c>
      <c r="P128">
        <v>0</v>
      </c>
      <c r="Q128">
        <v>0</v>
      </c>
      <c r="R128">
        <v>72050</v>
      </c>
      <c r="S128">
        <v>0</v>
      </c>
      <c r="T128">
        <v>72050</v>
      </c>
      <c r="U128">
        <v>144100</v>
      </c>
      <c r="V128">
        <v>-144100</v>
      </c>
      <c r="X128" t="str">
        <f>VLOOKUP(Результат[[#This Row],[Тип средств]],Таблица4[],2,0)</f>
        <v>Бюджетные средства (Бюджет муниципального образования)</v>
      </c>
      <c r="Y128" t="str">
        <f>VLOOKUP(Результат[[#This Row],[Тип средств]],Таблица4[],3,0)</f>
        <v>Местный бюджет</v>
      </c>
      <c r="Z128" t="str">
        <f>IF(LEFT(Результат[[#This Row],[ЦСР]],2)="06",VLOOKUP(Результат[[#This Row],[ЦСР]],Таблица3[[ЦСР]:[Пункт подпрограммы]],4,0),"")</f>
        <v>1.1.4</v>
      </c>
      <c r="AA12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37" t="str">
        <f t="shared" si="1"/>
        <v>КФКиС</v>
      </c>
    </row>
    <row r="129" spans="1:29" x14ac:dyDescent="0.25">
      <c r="A129" t="s">
        <v>22</v>
      </c>
      <c r="B129">
        <v>1101</v>
      </c>
      <c r="C129" t="s">
        <v>40</v>
      </c>
      <c r="D129">
        <v>611</v>
      </c>
      <c r="E129">
        <v>400010</v>
      </c>
      <c r="F129">
        <v>241</v>
      </c>
      <c r="G129">
        <v>226002</v>
      </c>
      <c r="H129" t="s">
        <v>32</v>
      </c>
      <c r="J129">
        <v>120</v>
      </c>
      <c r="K129">
        <v>272042535</v>
      </c>
      <c r="L129">
        <v>0</v>
      </c>
      <c r="M129">
        <v>0</v>
      </c>
      <c r="N129">
        <v>0</v>
      </c>
      <c r="O129">
        <v>0</v>
      </c>
      <c r="P129">
        <v>0</v>
      </c>
      <c r="Q129">
        <v>381900</v>
      </c>
      <c r="R129">
        <v>368600</v>
      </c>
      <c r="S129">
        <v>173300</v>
      </c>
      <c r="T129">
        <v>386408</v>
      </c>
      <c r="U129">
        <v>1310208</v>
      </c>
      <c r="V129">
        <v>-1310208</v>
      </c>
      <c r="X129" t="str">
        <f>VLOOKUP(Результат[[#This Row],[Тип средств]],Таблица4[],2,0)</f>
        <v>Бюджетные средства (Бюджет муниципального образования)</v>
      </c>
      <c r="Y129" t="str">
        <f>VLOOKUP(Результат[[#This Row],[Тип средств]],Таблица4[],3,0)</f>
        <v>Местный бюджет</v>
      </c>
      <c r="Z129" t="str">
        <f>IF(LEFT(Результат[[#This Row],[ЦСР]],2)="06",VLOOKUP(Результат[[#This Row],[ЦСР]],Таблица3[[ЦСР]:[Пункт подпрограммы]],4,0),"")</f>
        <v>1.1.4</v>
      </c>
      <c r="AA12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37" t="str">
        <f t="shared" si="1"/>
        <v>КФКиС</v>
      </c>
    </row>
    <row r="130" spans="1:29" x14ac:dyDescent="0.25">
      <c r="A130" t="s">
        <v>22</v>
      </c>
      <c r="B130">
        <v>1101</v>
      </c>
      <c r="C130" t="s">
        <v>40</v>
      </c>
      <c r="D130">
        <v>611</v>
      </c>
      <c r="E130">
        <v>400010</v>
      </c>
      <c r="F130">
        <v>241</v>
      </c>
      <c r="G130">
        <v>226002</v>
      </c>
      <c r="H130" t="s">
        <v>29</v>
      </c>
      <c r="J130">
        <v>910</v>
      </c>
      <c r="K130">
        <v>272042535</v>
      </c>
      <c r="L130">
        <v>0</v>
      </c>
      <c r="M130">
        <v>0</v>
      </c>
      <c r="N130">
        <v>0</v>
      </c>
      <c r="O130">
        <v>130401.5</v>
      </c>
      <c r="P130">
        <v>-130401.5</v>
      </c>
      <c r="Q130">
        <v>3186600</v>
      </c>
      <c r="R130">
        <v>1064900</v>
      </c>
      <c r="S130">
        <v>149000</v>
      </c>
      <c r="T130">
        <v>883500</v>
      </c>
      <c r="U130">
        <v>5284000</v>
      </c>
      <c r="V130">
        <v>-5284000</v>
      </c>
      <c r="X130" t="str">
        <f>VLOOKUP(Результат[[#This Row],[Тип средств]],Таблица4[],2,0)</f>
        <v>Бюджетные средства (Бюджет муниципального образования)</v>
      </c>
      <c r="Y130" t="str">
        <f>VLOOKUP(Результат[[#This Row],[Тип средств]],Таблица4[],3,0)</f>
        <v>Местный бюджет</v>
      </c>
      <c r="Z130" t="str">
        <f>IF(LEFT(Результат[[#This Row],[ЦСР]],2)="06",VLOOKUP(Результат[[#This Row],[ЦСР]],Таблица3[[ЦСР]:[Пункт подпрограммы]],4,0),"")</f>
        <v>1.1.4</v>
      </c>
      <c r="AA13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37" t="str">
        <f t="shared" si="1"/>
        <v>КФКиС</v>
      </c>
    </row>
    <row r="131" spans="1:29" x14ac:dyDescent="0.25">
      <c r="A131" t="s">
        <v>22</v>
      </c>
      <c r="B131">
        <v>1101</v>
      </c>
      <c r="C131" t="s">
        <v>40</v>
      </c>
      <c r="D131">
        <v>611</v>
      </c>
      <c r="E131">
        <v>400010</v>
      </c>
      <c r="F131">
        <v>241</v>
      </c>
      <c r="G131">
        <v>226002</v>
      </c>
      <c r="H131" t="s">
        <v>31</v>
      </c>
      <c r="J131">
        <v>910</v>
      </c>
      <c r="K131">
        <v>272042535</v>
      </c>
      <c r="L131">
        <v>0</v>
      </c>
      <c r="M131">
        <v>0</v>
      </c>
      <c r="N131">
        <v>0</v>
      </c>
      <c r="O131">
        <v>215200</v>
      </c>
      <c r="P131">
        <v>-215200</v>
      </c>
      <c r="Q131">
        <v>685900</v>
      </c>
      <c r="R131">
        <v>350700</v>
      </c>
      <c r="S131">
        <v>425500</v>
      </c>
      <c r="T131">
        <v>482757</v>
      </c>
      <c r="U131">
        <v>1944857</v>
      </c>
      <c r="V131">
        <v>-1944857</v>
      </c>
      <c r="X131" t="str">
        <f>VLOOKUP(Результат[[#This Row],[Тип средств]],Таблица4[],2,0)</f>
        <v>Бюджетные средства (Бюджет муниципального образования)</v>
      </c>
      <c r="Y131" t="str">
        <f>VLOOKUP(Результат[[#This Row],[Тип средств]],Таблица4[],3,0)</f>
        <v>Местный бюджет</v>
      </c>
      <c r="Z131" t="str">
        <f>IF(LEFT(Результат[[#This Row],[ЦСР]],2)="06",VLOOKUP(Результат[[#This Row],[ЦСР]],Таблица3[[ЦСР]:[Пункт подпрограммы]],4,0),"")</f>
        <v>1.1.4</v>
      </c>
      <c r="AA13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37" t="str">
        <f t="shared" si="1"/>
        <v>КФКиС</v>
      </c>
    </row>
    <row r="132" spans="1:29" x14ac:dyDescent="0.25">
      <c r="A132" t="s">
        <v>22</v>
      </c>
      <c r="B132">
        <v>1101</v>
      </c>
      <c r="C132" t="s">
        <v>40</v>
      </c>
      <c r="D132">
        <v>611</v>
      </c>
      <c r="E132">
        <v>400010</v>
      </c>
      <c r="F132">
        <v>241</v>
      </c>
      <c r="G132">
        <v>226002</v>
      </c>
      <c r="H132" t="s">
        <v>24</v>
      </c>
      <c r="J132">
        <v>910</v>
      </c>
      <c r="K132">
        <v>272042535</v>
      </c>
      <c r="L132">
        <v>0</v>
      </c>
      <c r="M132">
        <v>0</v>
      </c>
      <c r="N132">
        <v>0</v>
      </c>
      <c r="O132">
        <v>820357.7</v>
      </c>
      <c r="P132">
        <v>-820357.7</v>
      </c>
      <c r="Q132">
        <v>2008770</v>
      </c>
      <c r="R132">
        <v>369700</v>
      </c>
      <c r="S132">
        <v>977110</v>
      </c>
      <c r="T132">
        <v>720520</v>
      </c>
      <c r="U132">
        <v>4076100</v>
      </c>
      <c r="V132">
        <v>-4076100</v>
      </c>
      <c r="X132" t="str">
        <f>VLOOKUP(Результат[[#This Row],[Тип средств]],Таблица4[],2,0)</f>
        <v>Бюджетные средства (Бюджет муниципального образования)</v>
      </c>
      <c r="Y132" t="str">
        <f>VLOOKUP(Результат[[#This Row],[Тип средств]],Таблица4[],3,0)</f>
        <v>Местный бюджет</v>
      </c>
      <c r="Z132" t="str">
        <f>IF(LEFT(Результат[[#This Row],[ЦСР]],2)="06",VLOOKUP(Результат[[#This Row],[ЦСР]],Таблица3[[ЦСР]:[Пункт подпрограммы]],4,0),"")</f>
        <v>1.1.4</v>
      </c>
      <c r="AA1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37" t="str">
        <f t="shared" si="1"/>
        <v>КФКиС</v>
      </c>
    </row>
    <row r="133" spans="1:29" x14ac:dyDescent="0.25">
      <c r="A133" t="s">
        <v>22</v>
      </c>
      <c r="B133">
        <v>1101</v>
      </c>
      <c r="C133" t="s">
        <v>40</v>
      </c>
      <c r="D133">
        <v>611</v>
      </c>
      <c r="E133">
        <v>400010</v>
      </c>
      <c r="F133">
        <v>241</v>
      </c>
      <c r="G133">
        <v>226002</v>
      </c>
      <c r="H133" t="s">
        <v>32</v>
      </c>
      <c r="J133">
        <v>910</v>
      </c>
      <c r="K133">
        <v>272042535</v>
      </c>
      <c r="L133">
        <v>0</v>
      </c>
      <c r="M133">
        <v>0</v>
      </c>
      <c r="N133">
        <v>0</v>
      </c>
      <c r="O133">
        <v>45000</v>
      </c>
      <c r="P133">
        <v>-45000</v>
      </c>
      <c r="Q133">
        <v>181800</v>
      </c>
      <c r="R133">
        <v>91200</v>
      </c>
      <c r="S133">
        <v>119400</v>
      </c>
      <c r="T133">
        <v>144600</v>
      </c>
      <c r="U133">
        <v>537000</v>
      </c>
      <c r="V133">
        <v>-537000</v>
      </c>
      <c r="X133" t="str">
        <f>VLOOKUP(Результат[[#This Row],[Тип средств]],Таблица4[],2,0)</f>
        <v>Бюджетные средства (Бюджет муниципального образования)</v>
      </c>
      <c r="Y133" t="str">
        <f>VLOOKUP(Результат[[#This Row],[Тип средств]],Таблица4[],3,0)</f>
        <v>Местный бюджет</v>
      </c>
      <c r="Z133" t="str">
        <f>IF(LEFT(Результат[[#This Row],[ЦСР]],2)="06",VLOOKUP(Результат[[#This Row],[ЦСР]],Таблица3[[ЦСР]:[Пункт подпрограммы]],4,0),"")</f>
        <v>1.1.4</v>
      </c>
      <c r="AA1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37" t="str">
        <f t="shared" si="1"/>
        <v>КФКиС</v>
      </c>
    </row>
    <row r="134" spans="1:29" x14ac:dyDescent="0.25">
      <c r="A134" t="s">
        <v>22</v>
      </c>
      <c r="B134">
        <v>1101</v>
      </c>
      <c r="C134" t="s">
        <v>40</v>
      </c>
      <c r="D134">
        <v>611</v>
      </c>
      <c r="E134">
        <v>400010</v>
      </c>
      <c r="F134">
        <v>241</v>
      </c>
      <c r="G134">
        <v>226004</v>
      </c>
      <c r="H134" t="s">
        <v>29</v>
      </c>
      <c r="J134">
        <v>110</v>
      </c>
      <c r="K134">
        <v>272042534</v>
      </c>
      <c r="L134">
        <v>0</v>
      </c>
      <c r="M134">
        <v>0</v>
      </c>
      <c r="N134">
        <v>0</v>
      </c>
      <c r="O134">
        <v>0</v>
      </c>
      <c r="P134">
        <v>0</v>
      </c>
      <c r="Q134">
        <v>0</v>
      </c>
      <c r="R134">
        <v>517500</v>
      </c>
      <c r="S134">
        <v>529100</v>
      </c>
      <c r="T134">
        <v>556950</v>
      </c>
      <c r="U134">
        <v>1603550</v>
      </c>
      <c r="V134">
        <v>-1603550</v>
      </c>
      <c r="X134" t="str">
        <f>VLOOKUP(Результат[[#This Row],[Тип средств]],Таблица4[],2,0)</f>
        <v>Бюджетные средства (Бюджет муниципального образования)</v>
      </c>
      <c r="Y134" t="str">
        <f>VLOOKUP(Результат[[#This Row],[Тип средств]],Таблица4[],3,0)</f>
        <v>Местный бюджет</v>
      </c>
      <c r="Z134" t="str">
        <f>IF(LEFT(Результат[[#This Row],[ЦСР]],2)="06",VLOOKUP(Результат[[#This Row],[ЦСР]],Таблица3[[ЦСР]:[Пункт подпрограммы]],4,0),"")</f>
        <v>1.1.4</v>
      </c>
      <c r="AA13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37" t="str">
        <f t="shared" ref="AC134:AC197" si="2">"КФКиС"</f>
        <v>КФКиС</v>
      </c>
    </row>
    <row r="135" spans="1:29" x14ac:dyDescent="0.25">
      <c r="A135" t="s">
        <v>22</v>
      </c>
      <c r="B135">
        <v>1101</v>
      </c>
      <c r="C135" t="s">
        <v>40</v>
      </c>
      <c r="D135">
        <v>611</v>
      </c>
      <c r="E135">
        <v>400010</v>
      </c>
      <c r="F135">
        <v>241</v>
      </c>
      <c r="G135">
        <v>226004</v>
      </c>
      <c r="H135" t="s">
        <v>31</v>
      </c>
      <c r="J135">
        <v>110</v>
      </c>
      <c r="K135">
        <v>272042534</v>
      </c>
      <c r="L135">
        <v>0</v>
      </c>
      <c r="M135">
        <v>0</v>
      </c>
      <c r="N135">
        <v>0</v>
      </c>
      <c r="O135">
        <v>0</v>
      </c>
      <c r="P135">
        <v>0</v>
      </c>
      <c r="Q135">
        <v>22628</v>
      </c>
      <c r="R135">
        <v>35284</v>
      </c>
      <c r="S135">
        <v>35284</v>
      </c>
      <c r="T135">
        <v>46804</v>
      </c>
      <c r="U135">
        <v>140000</v>
      </c>
      <c r="V135">
        <v>-140000</v>
      </c>
      <c r="X135" t="str">
        <f>VLOOKUP(Результат[[#This Row],[Тип средств]],Таблица4[],2,0)</f>
        <v>Бюджетные средства (Бюджет муниципального образования)</v>
      </c>
      <c r="Y135" t="str">
        <f>VLOOKUP(Результат[[#This Row],[Тип средств]],Таблица4[],3,0)</f>
        <v>Местный бюджет</v>
      </c>
      <c r="Z135" t="str">
        <f>IF(LEFT(Результат[[#This Row],[ЦСР]],2)="06",VLOOKUP(Результат[[#This Row],[ЦСР]],Таблица3[[ЦСР]:[Пункт подпрограммы]],4,0),"")</f>
        <v>1.1.4</v>
      </c>
      <c r="AA1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37" t="str">
        <f t="shared" si="2"/>
        <v>КФКиС</v>
      </c>
    </row>
    <row r="136" spans="1:29" x14ac:dyDescent="0.25">
      <c r="A136" t="s">
        <v>22</v>
      </c>
      <c r="B136">
        <v>1101</v>
      </c>
      <c r="C136" t="s">
        <v>40</v>
      </c>
      <c r="D136">
        <v>611</v>
      </c>
      <c r="E136">
        <v>400010</v>
      </c>
      <c r="F136">
        <v>241</v>
      </c>
      <c r="G136">
        <v>226004</v>
      </c>
      <c r="H136" t="s">
        <v>24</v>
      </c>
      <c r="J136">
        <v>110</v>
      </c>
      <c r="K136">
        <v>272042534</v>
      </c>
      <c r="L136">
        <v>0</v>
      </c>
      <c r="M136">
        <v>0</v>
      </c>
      <c r="N136">
        <v>0</v>
      </c>
      <c r="O136">
        <v>0</v>
      </c>
      <c r="P136">
        <v>0</v>
      </c>
      <c r="Q136">
        <v>110000</v>
      </c>
      <c r="R136">
        <v>110000</v>
      </c>
      <c r="S136">
        <v>110000</v>
      </c>
      <c r="T136">
        <v>128228</v>
      </c>
      <c r="U136">
        <v>458228</v>
      </c>
      <c r="V136">
        <v>-458228</v>
      </c>
      <c r="X136" t="str">
        <f>VLOOKUP(Результат[[#This Row],[Тип средств]],Таблица4[],2,0)</f>
        <v>Бюджетные средства (Бюджет муниципального образования)</v>
      </c>
      <c r="Y136" t="str">
        <f>VLOOKUP(Результат[[#This Row],[Тип средств]],Таблица4[],3,0)</f>
        <v>Местный бюджет</v>
      </c>
      <c r="Z136" t="str">
        <f>IF(LEFT(Результат[[#This Row],[ЦСР]],2)="06",VLOOKUP(Результат[[#This Row],[ЦСР]],Таблица3[[ЦСР]:[Пункт подпрограммы]],4,0),"")</f>
        <v>1.1.4</v>
      </c>
      <c r="AA13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37" t="str">
        <f t="shared" si="2"/>
        <v>КФКиС</v>
      </c>
    </row>
    <row r="137" spans="1:29" x14ac:dyDescent="0.25">
      <c r="A137" t="s">
        <v>22</v>
      </c>
      <c r="B137">
        <v>1101</v>
      </c>
      <c r="C137" t="s">
        <v>40</v>
      </c>
      <c r="D137">
        <v>611</v>
      </c>
      <c r="E137">
        <v>400010</v>
      </c>
      <c r="F137">
        <v>241</v>
      </c>
      <c r="G137">
        <v>226004</v>
      </c>
      <c r="H137" t="s">
        <v>32</v>
      </c>
      <c r="J137">
        <v>110</v>
      </c>
      <c r="K137">
        <v>272042534</v>
      </c>
      <c r="L137">
        <v>0</v>
      </c>
      <c r="M137">
        <v>0</v>
      </c>
      <c r="N137">
        <v>0</v>
      </c>
      <c r="O137">
        <v>0</v>
      </c>
      <c r="P137">
        <v>0</v>
      </c>
      <c r="Q137">
        <v>900000</v>
      </c>
      <c r="R137">
        <v>1350000</v>
      </c>
      <c r="S137">
        <v>1350000</v>
      </c>
      <c r="T137">
        <v>1718400</v>
      </c>
      <c r="U137">
        <v>5318400</v>
      </c>
      <c r="V137">
        <v>-5318400</v>
      </c>
      <c r="X137" t="str">
        <f>VLOOKUP(Результат[[#This Row],[Тип средств]],Таблица4[],2,0)</f>
        <v>Бюджетные средства (Бюджет муниципального образования)</v>
      </c>
      <c r="Y137" t="str">
        <f>VLOOKUP(Результат[[#This Row],[Тип средств]],Таблица4[],3,0)</f>
        <v>Местный бюджет</v>
      </c>
      <c r="Z137" t="str">
        <f>IF(LEFT(Результат[[#This Row],[ЦСР]],2)="06",VLOOKUP(Результат[[#This Row],[ЦСР]],Таблица3[[ЦСР]:[Пункт подпрограммы]],4,0),"")</f>
        <v>1.1.4</v>
      </c>
      <c r="AA13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37" t="str">
        <f t="shared" si="2"/>
        <v>КФКиС</v>
      </c>
    </row>
    <row r="138" spans="1:29" x14ac:dyDescent="0.25">
      <c r="A138" t="s">
        <v>22</v>
      </c>
      <c r="B138">
        <v>1101</v>
      </c>
      <c r="C138" t="s">
        <v>40</v>
      </c>
      <c r="D138">
        <v>611</v>
      </c>
      <c r="E138">
        <v>400010</v>
      </c>
      <c r="F138">
        <v>241</v>
      </c>
      <c r="G138">
        <v>226004</v>
      </c>
      <c r="H138" t="s">
        <v>29</v>
      </c>
      <c r="J138">
        <v>120</v>
      </c>
      <c r="K138">
        <v>272042534</v>
      </c>
      <c r="L138">
        <v>0</v>
      </c>
      <c r="M138">
        <v>0</v>
      </c>
      <c r="N138">
        <v>0</v>
      </c>
      <c r="O138">
        <v>0</v>
      </c>
      <c r="P138">
        <v>0</v>
      </c>
      <c r="Q138">
        <v>416550</v>
      </c>
      <c r="R138">
        <v>0</v>
      </c>
      <c r="S138">
        <v>0</v>
      </c>
      <c r="T138">
        <v>0</v>
      </c>
      <c r="U138">
        <v>416550</v>
      </c>
      <c r="V138">
        <v>-416550</v>
      </c>
      <c r="X138" t="str">
        <f>VLOOKUP(Результат[[#This Row],[Тип средств]],Таблица4[],2,0)</f>
        <v>Бюджетные средства (Бюджет муниципального образования)</v>
      </c>
      <c r="Y138" t="str">
        <f>VLOOKUP(Результат[[#This Row],[Тип средств]],Таблица4[],3,0)</f>
        <v>Местный бюджет</v>
      </c>
      <c r="Z138" t="str">
        <f>IF(LEFT(Результат[[#This Row],[ЦСР]],2)="06",VLOOKUP(Результат[[#This Row],[ЦСР]],Таблица3[[ЦСР]:[Пункт подпрограммы]],4,0),"")</f>
        <v>1.1.4</v>
      </c>
      <c r="AA13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37" t="str">
        <f t="shared" si="2"/>
        <v>КФКиС</v>
      </c>
    </row>
    <row r="139" spans="1:29" x14ac:dyDescent="0.25">
      <c r="A139" t="s">
        <v>22</v>
      </c>
      <c r="B139">
        <v>1101</v>
      </c>
      <c r="C139" t="s">
        <v>40</v>
      </c>
      <c r="D139">
        <v>611</v>
      </c>
      <c r="E139">
        <v>400010</v>
      </c>
      <c r="F139">
        <v>241</v>
      </c>
      <c r="G139">
        <v>226004</v>
      </c>
      <c r="H139" t="s">
        <v>24</v>
      </c>
      <c r="J139">
        <v>120</v>
      </c>
      <c r="K139">
        <v>272042534</v>
      </c>
      <c r="L139">
        <v>0</v>
      </c>
      <c r="M139">
        <v>0</v>
      </c>
      <c r="N139">
        <v>0</v>
      </c>
      <c r="O139">
        <v>0</v>
      </c>
      <c r="P139">
        <v>0</v>
      </c>
      <c r="Q139">
        <v>80000</v>
      </c>
      <c r="R139">
        <v>80000</v>
      </c>
      <c r="S139">
        <v>80000</v>
      </c>
      <c r="T139">
        <v>81172</v>
      </c>
      <c r="U139">
        <v>321172</v>
      </c>
      <c r="V139">
        <v>-321172</v>
      </c>
      <c r="X139" t="str">
        <f>VLOOKUP(Результат[[#This Row],[Тип средств]],Таблица4[],2,0)</f>
        <v>Бюджетные средства (Бюджет муниципального образования)</v>
      </c>
      <c r="Y139" t="str">
        <f>VLOOKUP(Результат[[#This Row],[Тип средств]],Таблица4[],3,0)</f>
        <v>Местный бюджет</v>
      </c>
      <c r="Z139" t="str">
        <f>IF(LEFT(Результат[[#This Row],[ЦСР]],2)="06",VLOOKUP(Результат[[#This Row],[ЦСР]],Таблица3[[ЦСР]:[Пункт подпрограммы]],4,0),"")</f>
        <v>1.1.4</v>
      </c>
      <c r="AA13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37" t="str">
        <f t="shared" si="2"/>
        <v>КФКиС</v>
      </c>
    </row>
    <row r="140" spans="1:29" x14ac:dyDescent="0.25">
      <c r="A140" t="s">
        <v>22</v>
      </c>
      <c r="B140">
        <v>1101</v>
      </c>
      <c r="C140" t="s">
        <v>40</v>
      </c>
      <c r="D140">
        <v>611</v>
      </c>
      <c r="E140">
        <v>400010</v>
      </c>
      <c r="F140">
        <v>241</v>
      </c>
      <c r="G140">
        <v>226004</v>
      </c>
      <c r="H140" t="s">
        <v>32</v>
      </c>
      <c r="J140">
        <v>120</v>
      </c>
      <c r="K140">
        <v>272042534</v>
      </c>
      <c r="L140">
        <v>0</v>
      </c>
      <c r="M140">
        <v>0</v>
      </c>
      <c r="N140">
        <v>0</v>
      </c>
      <c r="O140">
        <v>0</v>
      </c>
      <c r="P140">
        <v>0</v>
      </c>
      <c r="Q140">
        <v>130000</v>
      </c>
      <c r="R140">
        <v>195000</v>
      </c>
      <c r="S140">
        <v>195000</v>
      </c>
      <c r="T140">
        <v>257000</v>
      </c>
      <c r="U140">
        <v>777000</v>
      </c>
      <c r="V140">
        <v>-777000</v>
      </c>
      <c r="X140" t="str">
        <f>VLOOKUP(Результат[[#This Row],[Тип средств]],Таблица4[],2,0)</f>
        <v>Бюджетные средства (Бюджет муниципального образования)</v>
      </c>
      <c r="Y140" t="str">
        <f>VLOOKUP(Результат[[#This Row],[Тип средств]],Таблица4[],3,0)</f>
        <v>Местный бюджет</v>
      </c>
      <c r="Z140" t="str">
        <f>IF(LEFT(Результат[[#This Row],[ЦСР]],2)="06",VLOOKUP(Результат[[#This Row],[ЦСР]],Таблица3[[ЦСР]:[Пункт подпрограммы]],4,0),"")</f>
        <v>1.1.4</v>
      </c>
      <c r="AA14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37" t="str">
        <f t="shared" si="2"/>
        <v>КФКиС</v>
      </c>
    </row>
    <row r="141" spans="1:29" x14ac:dyDescent="0.25">
      <c r="A141" t="s">
        <v>22</v>
      </c>
      <c r="B141">
        <v>1101</v>
      </c>
      <c r="C141" t="s">
        <v>40</v>
      </c>
      <c r="D141">
        <v>611</v>
      </c>
      <c r="E141">
        <v>400010</v>
      </c>
      <c r="F141">
        <v>241</v>
      </c>
      <c r="G141">
        <v>226005</v>
      </c>
      <c r="H141" t="s">
        <v>29</v>
      </c>
      <c r="J141">
        <v>110</v>
      </c>
      <c r="K141">
        <v>272042534</v>
      </c>
      <c r="L141">
        <v>0</v>
      </c>
      <c r="M141">
        <v>0</v>
      </c>
      <c r="N141">
        <v>0</v>
      </c>
      <c r="O141">
        <v>0</v>
      </c>
      <c r="P141">
        <v>0</v>
      </c>
      <c r="Q141">
        <v>56300</v>
      </c>
      <c r="R141">
        <v>32500</v>
      </c>
      <c r="S141">
        <v>15000</v>
      </c>
      <c r="T141">
        <v>20000</v>
      </c>
      <c r="U141">
        <v>123800</v>
      </c>
      <c r="V141">
        <v>-123800</v>
      </c>
      <c r="X141" t="str">
        <f>VLOOKUP(Результат[[#This Row],[Тип средств]],Таблица4[],2,0)</f>
        <v>Бюджетные средства (Бюджет муниципального образования)</v>
      </c>
      <c r="Y141" t="str">
        <f>VLOOKUP(Результат[[#This Row],[Тип средств]],Таблица4[],3,0)</f>
        <v>Местный бюджет</v>
      </c>
      <c r="Z141" t="str">
        <f>IF(LEFT(Результат[[#This Row],[ЦСР]],2)="06",VLOOKUP(Результат[[#This Row],[ЦСР]],Таблица3[[ЦСР]:[Пункт подпрограммы]],4,0),"")</f>
        <v>1.1.4</v>
      </c>
      <c r="AA14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37" t="str">
        <f t="shared" si="2"/>
        <v>КФКиС</v>
      </c>
    </row>
    <row r="142" spans="1:29" x14ac:dyDescent="0.25">
      <c r="A142" t="s">
        <v>22</v>
      </c>
      <c r="B142">
        <v>1101</v>
      </c>
      <c r="C142" t="s">
        <v>40</v>
      </c>
      <c r="D142">
        <v>611</v>
      </c>
      <c r="E142">
        <v>400010</v>
      </c>
      <c r="F142">
        <v>241</v>
      </c>
      <c r="G142">
        <v>226005</v>
      </c>
      <c r="H142" t="s">
        <v>31</v>
      </c>
      <c r="J142">
        <v>110</v>
      </c>
      <c r="K142">
        <v>272042534</v>
      </c>
      <c r="L142">
        <v>0</v>
      </c>
      <c r="M142">
        <v>0</v>
      </c>
      <c r="N142">
        <v>0</v>
      </c>
      <c r="O142">
        <v>0</v>
      </c>
      <c r="P142">
        <v>0</v>
      </c>
      <c r="Q142">
        <v>30000</v>
      </c>
      <c r="R142">
        <v>12000</v>
      </c>
      <c r="S142">
        <v>30000</v>
      </c>
      <c r="T142">
        <v>31800</v>
      </c>
      <c r="U142">
        <v>103800</v>
      </c>
      <c r="V142">
        <v>-103800</v>
      </c>
      <c r="X142" t="str">
        <f>VLOOKUP(Результат[[#This Row],[Тип средств]],Таблица4[],2,0)</f>
        <v>Бюджетные средства (Бюджет муниципального образования)</v>
      </c>
      <c r="Y142" t="str">
        <f>VLOOKUP(Результат[[#This Row],[Тип средств]],Таблица4[],3,0)</f>
        <v>Местный бюджет</v>
      </c>
      <c r="Z142" t="str">
        <f>IF(LEFT(Результат[[#This Row],[ЦСР]],2)="06",VLOOKUP(Результат[[#This Row],[ЦСР]],Таблица3[[ЦСР]:[Пункт подпрограммы]],4,0),"")</f>
        <v>1.1.4</v>
      </c>
      <c r="AA14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37" t="str">
        <f t="shared" si="2"/>
        <v>КФКиС</v>
      </c>
    </row>
    <row r="143" spans="1:29" x14ac:dyDescent="0.25">
      <c r="A143" t="s">
        <v>22</v>
      </c>
      <c r="B143">
        <v>1101</v>
      </c>
      <c r="C143" t="s">
        <v>40</v>
      </c>
      <c r="D143">
        <v>611</v>
      </c>
      <c r="E143">
        <v>400010</v>
      </c>
      <c r="F143">
        <v>241</v>
      </c>
      <c r="G143">
        <v>226005</v>
      </c>
      <c r="H143" t="s">
        <v>24</v>
      </c>
      <c r="J143">
        <v>110</v>
      </c>
      <c r="K143">
        <v>272042534</v>
      </c>
      <c r="L143">
        <v>0</v>
      </c>
      <c r="M143">
        <v>0</v>
      </c>
      <c r="N143">
        <v>0</v>
      </c>
      <c r="O143">
        <v>0</v>
      </c>
      <c r="P143">
        <v>0</v>
      </c>
      <c r="Q143">
        <v>70000</v>
      </c>
      <c r="R143">
        <v>37000</v>
      </c>
      <c r="S143">
        <v>37000</v>
      </c>
      <c r="T143">
        <v>38100</v>
      </c>
      <c r="U143">
        <v>182100</v>
      </c>
      <c r="V143">
        <v>-182100</v>
      </c>
      <c r="X143" t="str">
        <f>VLOOKUP(Результат[[#This Row],[Тип средств]],Таблица4[],2,0)</f>
        <v>Бюджетные средства (Бюджет муниципального образования)</v>
      </c>
      <c r="Y143" t="str">
        <f>VLOOKUP(Результат[[#This Row],[Тип средств]],Таблица4[],3,0)</f>
        <v>Местный бюджет</v>
      </c>
      <c r="Z143" t="str">
        <f>IF(LEFT(Результат[[#This Row],[ЦСР]],2)="06",VLOOKUP(Результат[[#This Row],[ЦСР]],Таблица3[[ЦСР]:[Пункт подпрограммы]],4,0),"")</f>
        <v>1.1.4</v>
      </c>
      <c r="AA14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37" t="str">
        <f t="shared" si="2"/>
        <v>КФКиС</v>
      </c>
    </row>
    <row r="144" spans="1:29" x14ac:dyDescent="0.25">
      <c r="A144" t="s">
        <v>22</v>
      </c>
      <c r="B144">
        <v>1101</v>
      </c>
      <c r="C144" t="s">
        <v>40</v>
      </c>
      <c r="D144">
        <v>611</v>
      </c>
      <c r="E144">
        <v>400010</v>
      </c>
      <c r="F144">
        <v>241</v>
      </c>
      <c r="G144">
        <v>226005</v>
      </c>
      <c r="H144" t="s">
        <v>32</v>
      </c>
      <c r="J144">
        <v>110</v>
      </c>
      <c r="K144">
        <v>272042534</v>
      </c>
      <c r="L144">
        <v>0</v>
      </c>
      <c r="M144">
        <v>0</v>
      </c>
      <c r="N144">
        <v>0</v>
      </c>
      <c r="O144">
        <v>0</v>
      </c>
      <c r="P144">
        <v>0</v>
      </c>
      <c r="Q144">
        <v>71000</v>
      </c>
      <c r="R144">
        <v>107000</v>
      </c>
      <c r="S144">
        <v>107000</v>
      </c>
      <c r="T144">
        <v>140977</v>
      </c>
      <c r="U144">
        <v>425977</v>
      </c>
      <c r="V144">
        <v>-425977</v>
      </c>
      <c r="X144" t="str">
        <f>VLOOKUP(Результат[[#This Row],[Тип средств]],Таблица4[],2,0)</f>
        <v>Бюджетные средства (Бюджет муниципального образования)</v>
      </c>
      <c r="Y144" t="str">
        <f>VLOOKUP(Результат[[#This Row],[Тип средств]],Таблица4[],3,0)</f>
        <v>Местный бюджет</v>
      </c>
      <c r="Z144" t="str">
        <f>IF(LEFT(Результат[[#This Row],[ЦСР]],2)="06",VLOOKUP(Результат[[#This Row],[ЦСР]],Таблица3[[ЦСР]:[Пункт подпрограммы]],4,0),"")</f>
        <v>1.1.4</v>
      </c>
      <c r="AA14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37" t="str">
        <f t="shared" si="2"/>
        <v>КФКиС</v>
      </c>
    </row>
    <row r="145" spans="1:29" x14ac:dyDescent="0.25">
      <c r="A145" t="s">
        <v>22</v>
      </c>
      <c r="B145">
        <v>1101</v>
      </c>
      <c r="C145" t="s">
        <v>40</v>
      </c>
      <c r="D145">
        <v>611</v>
      </c>
      <c r="E145">
        <v>400010</v>
      </c>
      <c r="F145">
        <v>241</v>
      </c>
      <c r="G145">
        <v>226005</v>
      </c>
      <c r="H145" t="s">
        <v>29</v>
      </c>
      <c r="J145">
        <v>120</v>
      </c>
      <c r="K145">
        <v>272042534</v>
      </c>
      <c r="L145">
        <v>0</v>
      </c>
      <c r="M145">
        <v>0</v>
      </c>
      <c r="N145">
        <v>0</v>
      </c>
      <c r="O145">
        <v>0</v>
      </c>
      <c r="P145">
        <v>0</v>
      </c>
      <c r="Q145">
        <v>0</v>
      </c>
      <c r="R145">
        <v>19000</v>
      </c>
      <c r="S145">
        <v>0</v>
      </c>
      <c r="T145">
        <v>0</v>
      </c>
      <c r="U145">
        <v>19000</v>
      </c>
      <c r="V145">
        <v>-19000</v>
      </c>
      <c r="X145" t="str">
        <f>VLOOKUP(Результат[[#This Row],[Тип средств]],Таблица4[],2,0)</f>
        <v>Бюджетные средства (Бюджет муниципального образования)</v>
      </c>
      <c r="Y145" t="str">
        <f>VLOOKUP(Результат[[#This Row],[Тип средств]],Таблица4[],3,0)</f>
        <v>Местный бюджет</v>
      </c>
      <c r="Z145" t="str">
        <f>IF(LEFT(Результат[[#This Row],[ЦСР]],2)="06",VLOOKUP(Результат[[#This Row],[ЦСР]],Таблица3[[ЦСР]:[Пункт подпрограммы]],4,0),"")</f>
        <v>1.1.4</v>
      </c>
      <c r="AA14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37" t="str">
        <f t="shared" si="2"/>
        <v>КФКиС</v>
      </c>
    </row>
    <row r="146" spans="1:29" x14ac:dyDescent="0.25">
      <c r="A146" t="s">
        <v>22</v>
      </c>
      <c r="B146">
        <v>1101</v>
      </c>
      <c r="C146" t="s">
        <v>40</v>
      </c>
      <c r="D146">
        <v>611</v>
      </c>
      <c r="E146">
        <v>400010</v>
      </c>
      <c r="F146">
        <v>241</v>
      </c>
      <c r="G146">
        <v>226005</v>
      </c>
      <c r="H146" t="s">
        <v>31</v>
      </c>
      <c r="J146">
        <v>120</v>
      </c>
      <c r="K146">
        <v>272042534</v>
      </c>
      <c r="L146">
        <v>0</v>
      </c>
      <c r="M146">
        <v>0</v>
      </c>
      <c r="N146">
        <v>0</v>
      </c>
      <c r="O146">
        <v>0</v>
      </c>
      <c r="P146">
        <v>0</v>
      </c>
      <c r="Q146">
        <v>29000</v>
      </c>
      <c r="R146">
        <v>20000</v>
      </c>
      <c r="S146">
        <v>80000</v>
      </c>
      <c r="T146">
        <v>1400</v>
      </c>
      <c r="U146">
        <v>130400</v>
      </c>
      <c r="V146">
        <v>-130400</v>
      </c>
      <c r="X146" t="str">
        <f>VLOOKUP(Результат[[#This Row],[Тип средств]],Таблица4[],2,0)</f>
        <v>Бюджетные средства (Бюджет муниципального образования)</v>
      </c>
      <c r="Y146" t="str">
        <f>VLOOKUP(Результат[[#This Row],[Тип средств]],Таблица4[],3,0)</f>
        <v>Местный бюджет</v>
      </c>
      <c r="Z146" t="str">
        <f>IF(LEFT(Результат[[#This Row],[ЦСР]],2)="06",VLOOKUP(Результат[[#This Row],[ЦСР]],Таблица3[[ЦСР]:[Пункт подпрограммы]],4,0),"")</f>
        <v>1.1.4</v>
      </c>
      <c r="AA14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37" t="str">
        <f t="shared" si="2"/>
        <v>КФКиС</v>
      </c>
    </row>
    <row r="147" spans="1:29" x14ac:dyDescent="0.25">
      <c r="A147" t="s">
        <v>22</v>
      </c>
      <c r="B147">
        <v>1101</v>
      </c>
      <c r="C147" t="s">
        <v>40</v>
      </c>
      <c r="D147">
        <v>611</v>
      </c>
      <c r="E147">
        <v>400010</v>
      </c>
      <c r="F147">
        <v>241</v>
      </c>
      <c r="G147">
        <v>226005</v>
      </c>
      <c r="H147" t="s">
        <v>32</v>
      </c>
      <c r="J147">
        <v>120</v>
      </c>
      <c r="K147">
        <v>272042534</v>
      </c>
      <c r="L147">
        <v>0</v>
      </c>
      <c r="M147">
        <v>0</v>
      </c>
      <c r="N147">
        <v>0</v>
      </c>
      <c r="O147">
        <v>0</v>
      </c>
      <c r="P147">
        <v>0</v>
      </c>
      <c r="Q147">
        <v>76000</v>
      </c>
      <c r="R147">
        <v>115000</v>
      </c>
      <c r="S147">
        <v>115000</v>
      </c>
      <c r="T147">
        <v>144123</v>
      </c>
      <c r="U147">
        <v>450123</v>
      </c>
      <c r="V147">
        <v>-450123</v>
      </c>
      <c r="X147" t="str">
        <f>VLOOKUP(Результат[[#This Row],[Тип средств]],Таблица4[],2,0)</f>
        <v>Бюджетные средства (Бюджет муниципального образования)</v>
      </c>
      <c r="Y147" t="str">
        <f>VLOOKUP(Результат[[#This Row],[Тип средств]],Таблица4[],3,0)</f>
        <v>Местный бюджет</v>
      </c>
      <c r="Z147" t="str">
        <f>IF(LEFT(Результат[[#This Row],[ЦСР]],2)="06",VLOOKUP(Результат[[#This Row],[ЦСР]],Таблица3[[ЦСР]:[Пункт подпрограммы]],4,0),"")</f>
        <v>1.1.4</v>
      </c>
      <c r="AA14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37" t="str">
        <f t="shared" si="2"/>
        <v>КФКиС</v>
      </c>
    </row>
    <row r="148" spans="1:29" x14ac:dyDescent="0.25">
      <c r="A148" t="s">
        <v>22</v>
      </c>
      <c r="B148">
        <v>1101</v>
      </c>
      <c r="C148" t="s">
        <v>40</v>
      </c>
      <c r="D148">
        <v>611</v>
      </c>
      <c r="E148">
        <v>400010</v>
      </c>
      <c r="F148">
        <v>241</v>
      </c>
      <c r="G148">
        <v>226008</v>
      </c>
      <c r="H148" t="s">
        <v>32</v>
      </c>
      <c r="J148">
        <v>910</v>
      </c>
      <c r="K148">
        <v>272042534</v>
      </c>
      <c r="L148">
        <v>0</v>
      </c>
      <c r="M148">
        <v>0</v>
      </c>
      <c r="N148">
        <v>0</v>
      </c>
      <c r="O148">
        <v>0</v>
      </c>
      <c r="P148">
        <v>0</v>
      </c>
      <c r="Q148">
        <v>12800</v>
      </c>
      <c r="R148">
        <v>12600</v>
      </c>
      <c r="S148">
        <v>0</v>
      </c>
      <c r="T148">
        <v>12600</v>
      </c>
      <c r="U148">
        <v>38000</v>
      </c>
      <c r="V148">
        <v>-38000</v>
      </c>
      <c r="X148" t="str">
        <f>VLOOKUP(Результат[[#This Row],[Тип средств]],Таблица4[],2,0)</f>
        <v>Бюджетные средства (Бюджет муниципального образования)</v>
      </c>
      <c r="Y148" t="str">
        <f>VLOOKUP(Результат[[#This Row],[Тип средств]],Таблица4[],3,0)</f>
        <v>Местный бюджет</v>
      </c>
      <c r="Z148" t="str">
        <f>IF(LEFT(Результат[[#This Row],[ЦСР]],2)="06",VLOOKUP(Результат[[#This Row],[ЦСР]],Таблица3[[ЦСР]:[Пункт подпрограммы]],4,0),"")</f>
        <v>1.1.4</v>
      </c>
      <c r="AA14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37" t="str">
        <f t="shared" si="2"/>
        <v>КФКиС</v>
      </c>
    </row>
    <row r="149" spans="1:29" x14ac:dyDescent="0.25">
      <c r="A149" t="s">
        <v>22</v>
      </c>
      <c r="B149">
        <v>1101</v>
      </c>
      <c r="C149" t="s">
        <v>40</v>
      </c>
      <c r="D149">
        <v>611</v>
      </c>
      <c r="E149">
        <v>400010</v>
      </c>
      <c r="F149">
        <v>241</v>
      </c>
      <c r="G149">
        <v>226009</v>
      </c>
      <c r="H149" t="s">
        <v>32</v>
      </c>
      <c r="J149">
        <v>910</v>
      </c>
      <c r="K149">
        <v>272042534</v>
      </c>
      <c r="L149">
        <v>0</v>
      </c>
      <c r="M149">
        <v>0</v>
      </c>
      <c r="N149">
        <v>0</v>
      </c>
      <c r="O149">
        <v>0</v>
      </c>
      <c r="P149">
        <v>0</v>
      </c>
      <c r="Q149">
        <v>3400</v>
      </c>
      <c r="R149">
        <v>3400</v>
      </c>
      <c r="S149">
        <v>1200</v>
      </c>
      <c r="T149">
        <v>2000</v>
      </c>
      <c r="U149">
        <v>10000</v>
      </c>
      <c r="V149">
        <v>-10000</v>
      </c>
      <c r="X149" t="str">
        <f>VLOOKUP(Результат[[#This Row],[Тип средств]],Таблица4[],2,0)</f>
        <v>Бюджетные средства (Бюджет муниципального образования)</v>
      </c>
      <c r="Y149" t="str">
        <f>VLOOKUP(Результат[[#This Row],[Тип средств]],Таблица4[],3,0)</f>
        <v>Местный бюджет</v>
      </c>
      <c r="Z149" t="str">
        <f>IF(LEFT(Результат[[#This Row],[ЦСР]],2)="06",VLOOKUP(Результат[[#This Row],[ЦСР]],Таблица3[[ЦСР]:[Пункт подпрограммы]],4,0),"")</f>
        <v>1.1.4</v>
      </c>
      <c r="AA14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37" t="str">
        <f t="shared" si="2"/>
        <v>КФКиС</v>
      </c>
    </row>
    <row r="150" spans="1:29" x14ac:dyDescent="0.25">
      <c r="A150" t="s">
        <v>22</v>
      </c>
      <c r="B150">
        <v>1101</v>
      </c>
      <c r="C150" t="s">
        <v>40</v>
      </c>
      <c r="D150">
        <v>611</v>
      </c>
      <c r="E150">
        <v>400010</v>
      </c>
      <c r="F150">
        <v>241</v>
      </c>
      <c r="G150">
        <v>226010</v>
      </c>
      <c r="H150" t="s">
        <v>29</v>
      </c>
      <c r="J150">
        <v>110</v>
      </c>
      <c r="K150">
        <v>272042534</v>
      </c>
      <c r="L150">
        <v>0</v>
      </c>
      <c r="M150">
        <v>0</v>
      </c>
      <c r="N150">
        <v>0</v>
      </c>
      <c r="O150">
        <v>0</v>
      </c>
      <c r="P150">
        <v>0</v>
      </c>
      <c r="Q150">
        <v>502500</v>
      </c>
      <c r="R150">
        <v>0</v>
      </c>
      <c r="S150">
        <v>0</v>
      </c>
      <c r="T150">
        <v>0</v>
      </c>
      <c r="U150">
        <v>502500</v>
      </c>
      <c r="V150">
        <v>-502500</v>
      </c>
      <c r="X150" t="str">
        <f>VLOOKUP(Результат[[#This Row],[Тип средств]],Таблица4[],2,0)</f>
        <v>Бюджетные средства (Бюджет муниципального образования)</v>
      </c>
      <c r="Y150" t="str">
        <f>VLOOKUP(Результат[[#This Row],[Тип средств]],Таблица4[],3,0)</f>
        <v>Местный бюджет</v>
      </c>
      <c r="Z150" t="str">
        <f>IF(LEFT(Результат[[#This Row],[ЦСР]],2)="06",VLOOKUP(Результат[[#This Row],[ЦСР]],Таблица3[[ЦСР]:[Пункт подпрограммы]],4,0),"")</f>
        <v>1.1.4</v>
      </c>
      <c r="AA15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37" t="str">
        <f t="shared" si="2"/>
        <v>КФКиС</v>
      </c>
    </row>
    <row r="151" spans="1:29" x14ac:dyDescent="0.25">
      <c r="A151" t="s">
        <v>22</v>
      </c>
      <c r="B151">
        <v>1101</v>
      </c>
      <c r="C151" t="s">
        <v>40</v>
      </c>
      <c r="D151">
        <v>611</v>
      </c>
      <c r="E151">
        <v>400010</v>
      </c>
      <c r="F151">
        <v>241</v>
      </c>
      <c r="G151">
        <v>226010</v>
      </c>
      <c r="H151" t="s">
        <v>31</v>
      </c>
      <c r="J151">
        <v>110</v>
      </c>
      <c r="K151">
        <v>272042534</v>
      </c>
      <c r="L151">
        <v>0</v>
      </c>
      <c r="M151">
        <v>0</v>
      </c>
      <c r="N151">
        <v>0</v>
      </c>
      <c r="O151">
        <v>0</v>
      </c>
      <c r="P151">
        <v>0</v>
      </c>
      <c r="Q151">
        <v>472000</v>
      </c>
      <c r="R151">
        <v>0</v>
      </c>
      <c r="S151">
        <v>0</v>
      </c>
      <c r="T151">
        <v>0</v>
      </c>
      <c r="U151">
        <v>472000</v>
      </c>
      <c r="V151">
        <v>-472000</v>
      </c>
      <c r="X151" t="str">
        <f>VLOOKUP(Результат[[#This Row],[Тип средств]],Таблица4[],2,0)</f>
        <v>Бюджетные средства (Бюджет муниципального образования)</v>
      </c>
      <c r="Y151" t="str">
        <f>VLOOKUP(Результат[[#This Row],[Тип средств]],Таблица4[],3,0)</f>
        <v>Местный бюджет</v>
      </c>
      <c r="Z151" t="str">
        <f>IF(LEFT(Результат[[#This Row],[ЦСР]],2)="06",VLOOKUP(Результат[[#This Row],[ЦСР]],Таблица3[[ЦСР]:[Пункт подпрограммы]],4,0),"")</f>
        <v>1.1.4</v>
      </c>
      <c r="AA15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37" t="str">
        <f t="shared" si="2"/>
        <v>КФКиС</v>
      </c>
    </row>
    <row r="152" spans="1:29" x14ac:dyDescent="0.25">
      <c r="A152" t="s">
        <v>22</v>
      </c>
      <c r="B152">
        <v>1101</v>
      </c>
      <c r="C152" t="s">
        <v>40</v>
      </c>
      <c r="D152">
        <v>611</v>
      </c>
      <c r="E152">
        <v>400010</v>
      </c>
      <c r="F152">
        <v>241</v>
      </c>
      <c r="G152">
        <v>226010</v>
      </c>
      <c r="H152" t="s">
        <v>24</v>
      </c>
      <c r="J152">
        <v>110</v>
      </c>
      <c r="K152">
        <v>272042534</v>
      </c>
      <c r="L152">
        <v>0</v>
      </c>
      <c r="M152">
        <v>0</v>
      </c>
      <c r="N152">
        <v>0</v>
      </c>
      <c r="O152">
        <v>0</v>
      </c>
      <c r="P152">
        <v>0</v>
      </c>
      <c r="Q152">
        <v>78000</v>
      </c>
      <c r="R152">
        <v>78000</v>
      </c>
      <c r="S152">
        <v>78000</v>
      </c>
      <c r="T152">
        <v>78000</v>
      </c>
      <c r="U152">
        <v>312000</v>
      </c>
      <c r="V152">
        <v>-312000</v>
      </c>
      <c r="X152" t="str">
        <f>VLOOKUP(Результат[[#This Row],[Тип средств]],Таблица4[],2,0)</f>
        <v>Бюджетные средства (Бюджет муниципального образования)</v>
      </c>
      <c r="Y152" t="str">
        <f>VLOOKUP(Результат[[#This Row],[Тип средств]],Таблица4[],3,0)</f>
        <v>Местный бюджет</v>
      </c>
      <c r="Z152" t="str">
        <f>IF(LEFT(Результат[[#This Row],[ЦСР]],2)="06",VLOOKUP(Результат[[#This Row],[ЦСР]],Таблица3[[ЦСР]:[Пункт подпрограммы]],4,0),"")</f>
        <v>1.1.4</v>
      </c>
      <c r="AA15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37" t="str">
        <f t="shared" si="2"/>
        <v>КФКиС</v>
      </c>
    </row>
    <row r="153" spans="1:29" x14ac:dyDescent="0.25">
      <c r="A153" t="s">
        <v>22</v>
      </c>
      <c r="B153">
        <v>1101</v>
      </c>
      <c r="C153" t="s">
        <v>40</v>
      </c>
      <c r="D153">
        <v>611</v>
      </c>
      <c r="E153">
        <v>400010</v>
      </c>
      <c r="F153">
        <v>241</v>
      </c>
      <c r="G153">
        <v>226010</v>
      </c>
      <c r="H153" t="s">
        <v>32</v>
      </c>
      <c r="J153">
        <v>110</v>
      </c>
      <c r="K153">
        <v>272042534</v>
      </c>
      <c r="L153">
        <v>0</v>
      </c>
      <c r="M153">
        <v>0</v>
      </c>
      <c r="N153">
        <v>0</v>
      </c>
      <c r="O153">
        <v>0</v>
      </c>
      <c r="P153">
        <v>0</v>
      </c>
      <c r="Q153">
        <v>620000</v>
      </c>
      <c r="R153">
        <v>33000</v>
      </c>
      <c r="S153">
        <v>33000</v>
      </c>
      <c r="T153">
        <v>28707</v>
      </c>
      <c r="U153">
        <v>714707</v>
      </c>
      <c r="V153">
        <v>-714707</v>
      </c>
      <c r="X153" t="str">
        <f>VLOOKUP(Результат[[#This Row],[Тип средств]],Таблица4[],2,0)</f>
        <v>Бюджетные средства (Бюджет муниципального образования)</v>
      </c>
      <c r="Y153" t="str">
        <f>VLOOKUP(Результат[[#This Row],[Тип средств]],Таблица4[],3,0)</f>
        <v>Местный бюджет</v>
      </c>
      <c r="Z153" t="str">
        <f>IF(LEFT(Результат[[#This Row],[ЦСР]],2)="06",VLOOKUP(Результат[[#This Row],[ЦСР]],Таблица3[[ЦСР]:[Пункт подпрограммы]],4,0),"")</f>
        <v>1.1.4</v>
      </c>
      <c r="AA15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37" t="str">
        <f t="shared" si="2"/>
        <v>КФКиС</v>
      </c>
    </row>
    <row r="154" spans="1:29" x14ac:dyDescent="0.25">
      <c r="A154" t="s">
        <v>22</v>
      </c>
      <c r="B154">
        <v>1101</v>
      </c>
      <c r="C154" t="s">
        <v>40</v>
      </c>
      <c r="D154">
        <v>611</v>
      </c>
      <c r="E154">
        <v>400010</v>
      </c>
      <c r="F154">
        <v>241</v>
      </c>
      <c r="G154">
        <v>226010</v>
      </c>
      <c r="H154" t="s">
        <v>29</v>
      </c>
      <c r="J154">
        <v>120</v>
      </c>
      <c r="K154">
        <v>272042534</v>
      </c>
      <c r="L154">
        <v>0</v>
      </c>
      <c r="M154">
        <v>0</v>
      </c>
      <c r="N154">
        <v>0</v>
      </c>
      <c r="O154">
        <v>0</v>
      </c>
      <c r="P154">
        <v>0</v>
      </c>
      <c r="Q154">
        <v>200000</v>
      </c>
      <c r="R154">
        <v>206400</v>
      </c>
      <c r="S154">
        <v>0</v>
      </c>
      <c r="T154">
        <v>774500</v>
      </c>
      <c r="U154">
        <v>1180900</v>
      </c>
      <c r="V154">
        <v>-1180900</v>
      </c>
      <c r="X154" t="str">
        <f>VLOOKUP(Результат[[#This Row],[Тип средств]],Таблица4[],2,0)</f>
        <v>Бюджетные средства (Бюджет муниципального образования)</v>
      </c>
      <c r="Y154" t="str">
        <f>VLOOKUP(Результат[[#This Row],[Тип средств]],Таблица4[],3,0)</f>
        <v>Местный бюджет</v>
      </c>
      <c r="Z154" t="str">
        <f>IF(LEFT(Результат[[#This Row],[ЦСР]],2)="06",VLOOKUP(Результат[[#This Row],[ЦСР]],Таблица3[[ЦСР]:[Пункт подпрограммы]],4,0),"")</f>
        <v>1.1.4</v>
      </c>
      <c r="AA15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37" t="str">
        <f t="shared" si="2"/>
        <v>КФКиС</v>
      </c>
    </row>
    <row r="155" spans="1:29" x14ac:dyDescent="0.25">
      <c r="A155" t="s">
        <v>22</v>
      </c>
      <c r="B155">
        <v>1101</v>
      </c>
      <c r="C155" t="s">
        <v>40</v>
      </c>
      <c r="D155">
        <v>611</v>
      </c>
      <c r="E155">
        <v>400010</v>
      </c>
      <c r="F155">
        <v>241</v>
      </c>
      <c r="G155">
        <v>226010</v>
      </c>
      <c r="H155" t="s">
        <v>31</v>
      </c>
      <c r="J155">
        <v>120</v>
      </c>
      <c r="K155">
        <v>272042534</v>
      </c>
      <c r="L155">
        <v>0</v>
      </c>
      <c r="M155">
        <v>0</v>
      </c>
      <c r="N155">
        <v>0</v>
      </c>
      <c r="O155">
        <v>0</v>
      </c>
      <c r="P155">
        <v>0</v>
      </c>
      <c r="Q155">
        <v>588700</v>
      </c>
      <c r="R155">
        <v>1566000</v>
      </c>
      <c r="S155">
        <v>0</v>
      </c>
      <c r="T155">
        <v>14100</v>
      </c>
      <c r="U155">
        <v>2168800</v>
      </c>
      <c r="V155">
        <v>-2168800</v>
      </c>
      <c r="X155" t="str">
        <f>VLOOKUP(Результат[[#This Row],[Тип средств]],Таблица4[],2,0)</f>
        <v>Бюджетные средства (Бюджет муниципального образования)</v>
      </c>
      <c r="Y155" t="str">
        <f>VLOOKUP(Результат[[#This Row],[Тип средств]],Таблица4[],3,0)</f>
        <v>Местный бюджет</v>
      </c>
      <c r="Z155" t="str">
        <f>IF(LEFT(Результат[[#This Row],[ЦСР]],2)="06",VLOOKUP(Результат[[#This Row],[ЦСР]],Таблица3[[ЦСР]:[Пункт подпрограммы]],4,0),"")</f>
        <v>1.1.4</v>
      </c>
      <c r="AA15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37" t="str">
        <f t="shared" si="2"/>
        <v>КФКиС</v>
      </c>
    </row>
    <row r="156" spans="1:29" x14ac:dyDescent="0.25">
      <c r="A156" t="s">
        <v>22</v>
      </c>
      <c r="B156">
        <v>1101</v>
      </c>
      <c r="C156" t="s">
        <v>40</v>
      </c>
      <c r="D156">
        <v>611</v>
      </c>
      <c r="E156">
        <v>400010</v>
      </c>
      <c r="F156">
        <v>241</v>
      </c>
      <c r="G156">
        <v>226010</v>
      </c>
      <c r="H156" t="s">
        <v>24</v>
      </c>
      <c r="J156">
        <v>120</v>
      </c>
      <c r="K156">
        <v>272042534</v>
      </c>
      <c r="L156">
        <v>0</v>
      </c>
      <c r="M156">
        <v>0</v>
      </c>
      <c r="N156">
        <v>0</v>
      </c>
      <c r="O156">
        <v>0</v>
      </c>
      <c r="P156">
        <v>0</v>
      </c>
      <c r="Q156">
        <v>490000</v>
      </c>
      <c r="R156">
        <v>490000</v>
      </c>
      <c r="S156">
        <v>490000</v>
      </c>
      <c r="T156">
        <v>504100</v>
      </c>
      <c r="U156">
        <v>1974100</v>
      </c>
      <c r="V156">
        <v>-1974100</v>
      </c>
      <c r="X156" t="str">
        <f>VLOOKUP(Результат[[#This Row],[Тип средств]],Таблица4[],2,0)</f>
        <v>Бюджетные средства (Бюджет муниципального образования)</v>
      </c>
      <c r="Y156" t="str">
        <f>VLOOKUP(Результат[[#This Row],[Тип средств]],Таблица4[],3,0)</f>
        <v>Местный бюджет</v>
      </c>
      <c r="Z156" t="str">
        <f>IF(LEFT(Результат[[#This Row],[ЦСР]],2)="06",VLOOKUP(Результат[[#This Row],[ЦСР]],Таблица3[[ЦСР]:[Пункт подпрограммы]],4,0),"")</f>
        <v>1.1.4</v>
      </c>
      <c r="AA15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37" t="str">
        <f t="shared" si="2"/>
        <v>КФКиС</v>
      </c>
    </row>
    <row r="157" spans="1:29" x14ac:dyDescent="0.25">
      <c r="A157" t="s">
        <v>22</v>
      </c>
      <c r="B157">
        <v>1101</v>
      </c>
      <c r="C157" t="s">
        <v>40</v>
      </c>
      <c r="D157">
        <v>611</v>
      </c>
      <c r="E157">
        <v>400010</v>
      </c>
      <c r="F157">
        <v>241</v>
      </c>
      <c r="G157">
        <v>226010</v>
      </c>
      <c r="H157" t="s">
        <v>32</v>
      </c>
      <c r="J157">
        <v>120</v>
      </c>
      <c r="K157">
        <v>272042534</v>
      </c>
      <c r="L157">
        <v>0</v>
      </c>
      <c r="M157">
        <v>0</v>
      </c>
      <c r="N157">
        <v>0</v>
      </c>
      <c r="O157">
        <v>0</v>
      </c>
      <c r="P157">
        <v>0</v>
      </c>
      <c r="Q157">
        <v>1000000</v>
      </c>
      <c r="R157">
        <v>1600000</v>
      </c>
      <c r="S157">
        <v>1300000</v>
      </c>
      <c r="T157">
        <v>1656993</v>
      </c>
      <c r="U157">
        <v>5556993</v>
      </c>
      <c r="V157">
        <v>-5556993</v>
      </c>
      <c r="X157" t="str">
        <f>VLOOKUP(Результат[[#This Row],[Тип средств]],Таблица4[],2,0)</f>
        <v>Бюджетные средства (Бюджет муниципального образования)</v>
      </c>
      <c r="Y157" t="str">
        <f>VLOOKUP(Результат[[#This Row],[Тип средств]],Таблица4[],3,0)</f>
        <v>Местный бюджет</v>
      </c>
      <c r="Z157" t="str">
        <f>IF(LEFT(Результат[[#This Row],[ЦСР]],2)="06",VLOOKUP(Результат[[#This Row],[ЦСР]],Таблица3[[ЦСР]:[Пункт подпрограммы]],4,0),"")</f>
        <v>1.1.4</v>
      </c>
      <c r="AA15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37" t="str">
        <f t="shared" si="2"/>
        <v>КФКиС</v>
      </c>
    </row>
    <row r="158" spans="1:29" x14ac:dyDescent="0.25">
      <c r="A158" t="s">
        <v>22</v>
      </c>
      <c r="B158">
        <v>1101</v>
      </c>
      <c r="C158" t="s">
        <v>40</v>
      </c>
      <c r="D158">
        <v>611</v>
      </c>
      <c r="E158">
        <v>400010</v>
      </c>
      <c r="F158">
        <v>241</v>
      </c>
      <c r="G158">
        <v>226011</v>
      </c>
      <c r="H158" t="s">
        <v>29</v>
      </c>
      <c r="J158">
        <v>120</v>
      </c>
      <c r="K158">
        <v>272042534</v>
      </c>
      <c r="L158">
        <v>0</v>
      </c>
      <c r="M158">
        <v>0</v>
      </c>
      <c r="N158">
        <v>0</v>
      </c>
      <c r="O158">
        <v>0</v>
      </c>
      <c r="P158">
        <v>0</v>
      </c>
      <c r="Q158">
        <v>0</v>
      </c>
      <c r="R158">
        <v>360300</v>
      </c>
      <c r="S158">
        <v>0</v>
      </c>
      <c r="T158">
        <v>0</v>
      </c>
      <c r="U158">
        <v>360300</v>
      </c>
      <c r="V158">
        <v>-360300</v>
      </c>
      <c r="X158" t="str">
        <f>VLOOKUP(Результат[[#This Row],[Тип средств]],Таблица4[],2,0)</f>
        <v>Бюджетные средства (Бюджет муниципального образования)</v>
      </c>
      <c r="Y158" t="str">
        <f>VLOOKUP(Результат[[#This Row],[Тип средств]],Таблица4[],3,0)</f>
        <v>Местный бюджет</v>
      </c>
      <c r="Z158" t="str">
        <f>IF(LEFT(Результат[[#This Row],[ЦСР]],2)="06",VLOOKUP(Результат[[#This Row],[ЦСР]],Таблица3[[ЦСР]:[Пункт подпрограммы]],4,0),"")</f>
        <v>1.1.4</v>
      </c>
      <c r="AA15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37" t="str">
        <f t="shared" si="2"/>
        <v>КФКиС</v>
      </c>
    </row>
    <row r="159" spans="1:29" x14ac:dyDescent="0.25">
      <c r="A159" t="s">
        <v>22</v>
      </c>
      <c r="B159">
        <v>1101</v>
      </c>
      <c r="C159" t="s">
        <v>40</v>
      </c>
      <c r="D159">
        <v>611</v>
      </c>
      <c r="E159">
        <v>400010</v>
      </c>
      <c r="F159">
        <v>241</v>
      </c>
      <c r="G159">
        <v>226011</v>
      </c>
      <c r="H159" t="s">
        <v>31</v>
      </c>
      <c r="J159">
        <v>120</v>
      </c>
      <c r="K159">
        <v>272042534</v>
      </c>
      <c r="L159">
        <v>0</v>
      </c>
      <c r="M159">
        <v>0</v>
      </c>
      <c r="N159">
        <v>0</v>
      </c>
      <c r="O159">
        <v>0</v>
      </c>
      <c r="P159">
        <v>0</v>
      </c>
      <c r="Q159">
        <v>0</v>
      </c>
      <c r="R159">
        <v>37184</v>
      </c>
      <c r="S159">
        <v>0</v>
      </c>
      <c r="T159">
        <v>183016</v>
      </c>
      <c r="U159">
        <v>220200</v>
      </c>
      <c r="V159">
        <v>-220200</v>
      </c>
      <c r="X159" t="str">
        <f>VLOOKUP(Результат[[#This Row],[Тип средств]],Таблица4[],2,0)</f>
        <v>Бюджетные средства (Бюджет муниципального образования)</v>
      </c>
      <c r="Y159" t="str">
        <f>VLOOKUP(Результат[[#This Row],[Тип средств]],Таблица4[],3,0)</f>
        <v>Местный бюджет</v>
      </c>
      <c r="Z159" t="str">
        <f>IF(LEFT(Результат[[#This Row],[ЦСР]],2)="06",VLOOKUP(Результат[[#This Row],[ЦСР]],Таблица3[[ЦСР]:[Пункт подпрограммы]],4,0),"")</f>
        <v>1.1.4</v>
      </c>
      <c r="AA15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37" t="str">
        <f t="shared" si="2"/>
        <v>КФКиС</v>
      </c>
    </row>
    <row r="160" spans="1:29" x14ac:dyDescent="0.25">
      <c r="A160" t="s">
        <v>22</v>
      </c>
      <c r="B160">
        <v>1101</v>
      </c>
      <c r="C160" t="s">
        <v>40</v>
      </c>
      <c r="D160">
        <v>611</v>
      </c>
      <c r="E160">
        <v>400010</v>
      </c>
      <c r="F160">
        <v>241</v>
      </c>
      <c r="G160">
        <v>226011</v>
      </c>
      <c r="H160" t="s">
        <v>24</v>
      </c>
      <c r="J160">
        <v>120</v>
      </c>
      <c r="K160">
        <v>272042534</v>
      </c>
      <c r="L160">
        <v>0</v>
      </c>
      <c r="M160">
        <v>0</v>
      </c>
      <c r="N160">
        <v>0</v>
      </c>
      <c r="O160">
        <v>0</v>
      </c>
      <c r="P160">
        <v>0</v>
      </c>
      <c r="Q160">
        <v>0</v>
      </c>
      <c r="R160">
        <v>0</v>
      </c>
      <c r="S160">
        <v>0</v>
      </c>
      <c r="T160">
        <v>254100</v>
      </c>
      <c r="U160">
        <v>254100</v>
      </c>
      <c r="V160">
        <v>-254100</v>
      </c>
      <c r="X160" t="str">
        <f>VLOOKUP(Результат[[#This Row],[Тип средств]],Таблица4[],2,0)</f>
        <v>Бюджетные средства (Бюджет муниципального образования)</v>
      </c>
      <c r="Y160" t="str">
        <f>VLOOKUP(Результат[[#This Row],[Тип средств]],Таблица4[],3,0)</f>
        <v>Местный бюджет</v>
      </c>
      <c r="Z160" t="str">
        <f>IF(LEFT(Результат[[#This Row],[ЦСР]],2)="06",VLOOKUP(Результат[[#This Row],[ЦСР]],Таблица3[[ЦСР]:[Пункт подпрограммы]],4,0),"")</f>
        <v>1.1.4</v>
      </c>
      <c r="AA16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37" t="str">
        <f t="shared" si="2"/>
        <v>КФКиС</v>
      </c>
    </row>
    <row r="161" spans="1:29" x14ac:dyDescent="0.25">
      <c r="A161" t="s">
        <v>22</v>
      </c>
      <c r="B161">
        <v>1101</v>
      </c>
      <c r="C161" t="s">
        <v>40</v>
      </c>
      <c r="D161">
        <v>611</v>
      </c>
      <c r="E161">
        <v>400010</v>
      </c>
      <c r="F161">
        <v>241</v>
      </c>
      <c r="G161">
        <v>226011</v>
      </c>
      <c r="H161" t="s">
        <v>32</v>
      </c>
      <c r="J161">
        <v>120</v>
      </c>
      <c r="K161">
        <v>272042534</v>
      </c>
      <c r="L161">
        <v>0</v>
      </c>
      <c r="M161">
        <v>0</v>
      </c>
      <c r="N161">
        <v>0</v>
      </c>
      <c r="O161">
        <v>0</v>
      </c>
      <c r="P161">
        <v>0</v>
      </c>
      <c r="Q161">
        <v>0</v>
      </c>
      <c r="R161">
        <v>0</v>
      </c>
      <c r="S161">
        <v>0</v>
      </c>
      <c r="T161">
        <v>532000</v>
      </c>
      <c r="U161">
        <v>532000</v>
      </c>
      <c r="V161">
        <v>-532000</v>
      </c>
      <c r="X161" t="str">
        <f>VLOOKUP(Результат[[#This Row],[Тип средств]],Таблица4[],2,0)</f>
        <v>Бюджетные средства (Бюджет муниципального образования)</v>
      </c>
      <c r="Y161" t="str">
        <f>VLOOKUP(Результат[[#This Row],[Тип средств]],Таблица4[],3,0)</f>
        <v>Местный бюджет</v>
      </c>
      <c r="Z161" t="str">
        <f>IF(LEFT(Результат[[#This Row],[ЦСР]],2)="06",VLOOKUP(Результат[[#This Row],[ЦСР]],Таблица3[[ЦСР]:[Пункт подпрограммы]],4,0),"")</f>
        <v>1.1.4</v>
      </c>
      <c r="AA16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37" t="str">
        <f t="shared" si="2"/>
        <v>КФКиС</v>
      </c>
    </row>
    <row r="162" spans="1:29" x14ac:dyDescent="0.25">
      <c r="A162" t="s">
        <v>22</v>
      </c>
      <c r="B162">
        <v>1101</v>
      </c>
      <c r="C162" t="s">
        <v>40</v>
      </c>
      <c r="D162">
        <v>611</v>
      </c>
      <c r="E162">
        <v>400010</v>
      </c>
      <c r="F162">
        <v>241</v>
      </c>
      <c r="G162">
        <v>226012</v>
      </c>
      <c r="H162" t="s">
        <v>29</v>
      </c>
      <c r="J162">
        <v>120</v>
      </c>
      <c r="K162">
        <v>272042534</v>
      </c>
      <c r="L162">
        <v>0</v>
      </c>
      <c r="M162">
        <v>0</v>
      </c>
      <c r="N162">
        <v>0</v>
      </c>
      <c r="O162">
        <v>0</v>
      </c>
      <c r="P162">
        <v>0</v>
      </c>
      <c r="Q162">
        <v>0</v>
      </c>
      <c r="R162">
        <v>3800</v>
      </c>
      <c r="S162">
        <v>0</v>
      </c>
      <c r="T162">
        <v>0</v>
      </c>
      <c r="U162">
        <v>3800</v>
      </c>
      <c r="V162">
        <v>-3800</v>
      </c>
      <c r="X162" t="str">
        <f>VLOOKUP(Результат[[#This Row],[Тип средств]],Таблица4[],2,0)</f>
        <v>Бюджетные средства (Бюджет муниципального образования)</v>
      </c>
      <c r="Y162" t="str">
        <f>VLOOKUP(Результат[[#This Row],[Тип средств]],Таблица4[],3,0)</f>
        <v>Местный бюджет</v>
      </c>
      <c r="Z162" t="str">
        <f>IF(LEFT(Результат[[#This Row],[ЦСР]],2)="06",VLOOKUP(Результат[[#This Row],[ЦСР]],Таблица3[[ЦСР]:[Пункт подпрограммы]],4,0),"")</f>
        <v>1.1.4</v>
      </c>
      <c r="AA16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37" t="str">
        <f t="shared" si="2"/>
        <v>КФКиС</v>
      </c>
    </row>
    <row r="163" spans="1:29" x14ac:dyDescent="0.25">
      <c r="A163" t="s">
        <v>22</v>
      </c>
      <c r="B163">
        <v>1101</v>
      </c>
      <c r="C163" t="s">
        <v>40</v>
      </c>
      <c r="D163">
        <v>611</v>
      </c>
      <c r="E163">
        <v>400010</v>
      </c>
      <c r="F163">
        <v>241</v>
      </c>
      <c r="G163">
        <v>226012</v>
      </c>
      <c r="H163" t="s">
        <v>32</v>
      </c>
      <c r="J163">
        <v>120</v>
      </c>
      <c r="K163">
        <v>272042534</v>
      </c>
      <c r="L163">
        <v>0</v>
      </c>
      <c r="M163">
        <v>0</v>
      </c>
      <c r="N163">
        <v>0</v>
      </c>
      <c r="O163">
        <v>0</v>
      </c>
      <c r="P163">
        <v>0</v>
      </c>
      <c r="Q163">
        <v>5000</v>
      </c>
      <c r="R163">
        <v>10000</v>
      </c>
      <c r="S163">
        <v>10000</v>
      </c>
      <c r="T163">
        <v>5000</v>
      </c>
      <c r="U163">
        <v>30000</v>
      </c>
      <c r="V163">
        <v>-30000</v>
      </c>
      <c r="X163" t="str">
        <f>VLOOKUP(Результат[[#This Row],[Тип средств]],Таблица4[],2,0)</f>
        <v>Бюджетные средства (Бюджет муниципального образования)</v>
      </c>
      <c r="Y163" t="str">
        <f>VLOOKUP(Результат[[#This Row],[Тип средств]],Таблица4[],3,0)</f>
        <v>Местный бюджет</v>
      </c>
      <c r="Z163" t="str">
        <f>IF(LEFT(Результат[[#This Row],[ЦСР]],2)="06",VLOOKUP(Результат[[#This Row],[ЦСР]],Таблица3[[ЦСР]:[Пункт подпрограммы]],4,0),"")</f>
        <v>1.1.4</v>
      </c>
      <c r="AA16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37" t="str">
        <f t="shared" si="2"/>
        <v>КФКиС</v>
      </c>
    </row>
    <row r="164" spans="1:29" x14ac:dyDescent="0.25">
      <c r="A164" t="s">
        <v>22</v>
      </c>
      <c r="B164">
        <v>1101</v>
      </c>
      <c r="C164" t="s">
        <v>40</v>
      </c>
      <c r="D164">
        <v>611</v>
      </c>
      <c r="E164">
        <v>400010</v>
      </c>
      <c r="F164">
        <v>241</v>
      </c>
      <c r="G164">
        <v>227001</v>
      </c>
      <c r="H164" t="s">
        <v>32</v>
      </c>
      <c r="J164">
        <v>120</v>
      </c>
      <c r="K164">
        <v>272042534</v>
      </c>
      <c r="L164">
        <v>0</v>
      </c>
      <c r="M164">
        <v>0</v>
      </c>
      <c r="N164">
        <v>0</v>
      </c>
      <c r="O164">
        <v>0</v>
      </c>
      <c r="P164">
        <v>0</v>
      </c>
      <c r="Q164">
        <v>19300</v>
      </c>
      <c r="R164">
        <v>0</v>
      </c>
      <c r="S164">
        <v>28300</v>
      </c>
      <c r="T164">
        <v>0</v>
      </c>
      <c r="U164">
        <v>47600</v>
      </c>
      <c r="V164">
        <v>-47600</v>
      </c>
      <c r="X164" t="str">
        <f>VLOOKUP(Результат[[#This Row],[Тип средств]],Таблица4[],2,0)</f>
        <v>Бюджетные средства (Бюджет муниципального образования)</v>
      </c>
      <c r="Y164" t="str">
        <f>VLOOKUP(Результат[[#This Row],[Тип средств]],Таблица4[],3,0)</f>
        <v>Местный бюджет</v>
      </c>
      <c r="Z164" t="str">
        <f>IF(LEFT(Результат[[#This Row],[ЦСР]],2)="06",VLOOKUP(Результат[[#This Row],[ЦСР]],Таблица3[[ЦСР]:[Пункт подпрограммы]],4,0),"")</f>
        <v>1.1.4</v>
      </c>
      <c r="AA16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37" t="str">
        <f t="shared" si="2"/>
        <v>КФКиС</v>
      </c>
    </row>
    <row r="165" spans="1:29" x14ac:dyDescent="0.25">
      <c r="A165" t="s">
        <v>22</v>
      </c>
      <c r="B165">
        <v>1101</v>
      </c>
      <c r="C165" t="s">
        <v>40</v>
      </c>
      <c r="D165">
        <v>611</v>
      </c>
      <c r="E165">
        <v>400010</v>
      </c>
      <c r="F165">
        <v>241</v>
      </c>
      <c r="G165">
        <v>227002</v>
      </c>
      <c r="H165" t="s">
        <v>32</v>
      </c>
      <c r="J165">
        <v>120</v>
      </c>
      <c r="K165">
        <v>272042535</v>
      </c>
      <c r="L165">
        <v>0</v>
      </c>
      <c r="M165">
        <v>0</v>
      </c>
      <c r="N165">
        <v>0</v>
      </c>
      <c r="O165">
        <v>0</v>
      </c>
      <c r="P165">
        <v>0</v>
      </c>
      <c r="Q165">
        <v>5000</v>
      </c>
      <c r="R165">
        <v>0</v>
      </c>
      <c r="S165">
        <v>0</v>
      </c>
      <c r="T165">
        <v>0</v>
      </c>
      <c r="U165">
        <v>5000</v>
      </c>
      <c r="V165">
        <v>-5000</v>
      </c>
      <c r="X165" t="str">
        <f>VLOOKUP(Результат[[#This Row],[Тип средств]],Таблица4[],2,0)</f>
        <v>Бюджетные средства (Бюджет муниципального образования)</v>
      </c>
      <c r="Y165" t="str">
        <f>VLOOKUP(Результат[[#This Row],[Тип средств]],Таблица4[],3,0)</f>
        <v>Местный бюджет</v>
      </c>
      <c r="Z165" t="str">
        <f>IF(LEFT(Результат[[#This Row],[ЦСР]],2)="06",VLOOKUP(Результат[[#This Row],[ЦСР]],Таблица3[[ЦСР]:[Пункт подпрограммы]],4,0),"")</f>
        <v>1.1.4</v>
      </c>
      <c r="AA16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37" t="str">
        <f t="shared" si="2"/>
        <v>КФКиС</v>
      </c>
    </row>
    <row r="166" spans="1:29" x14ac:dyDescent="0.25">
      <c r="A166" t="s">
        <v>22</v>
      </c>
      <c r="B166">
        <v>1101</v>
      </c>
      <c r="C166" t="s">
        <v>40</v>
      </c>
      <c r="D166">
        <v>611</v>
      </c>
      <c r="E166">
        <v>400010</v>
      </c>
      <c r="F166">
        <v>241</v>
      </c>
      <c r="G166">
        <v>227003</v>
      </c>
      <c r="H166" t="s">
        <v>29</v>
      </c>
      <c r="J166">
        <v>120</v>
      </c>
      <c r="K166">
        <v>272042534</v>
      </c>
      <c r="L166">
        <v>0</v>
      </c>
      <c r="M166">
        <v>0</v>
      </c>
      <c r="N166">
        <v>0</v>
      </c>
      <c r="O166">
        <v>0</v>
      </c>
      <c r="P166">
        <v>0</v>
      </c>
      <c r="Q166">
        <v>0</v>
      </c>
      <c r="R166">
        <v>0</v>
      </c>
      <c r="S166">
        <v>0</v>
      </c>
      <c r="T166">
        <v>4200</v>
      </c>
      <c r="U166">
        <v>4200</v>
      </c>
      <c r="V166">
        <v>-4200</v>
      </c>
      <c r="X166" t="str">
        <f>VLOOKUP(Результат[[#This Row],[Тип средств]],Таблица4[],2,0)</f>
        <v>Бюджетные средства (Бюджет муниципального образования)</v>
      </c>
      <c r="Y166" t="str">
        <f>VLOOKUP(Результат[[#This Row],[Тип средств]],Таблица4[],3,0)</f>
        <v>Местный бюджет</v>
      </c>
      <c r="Z166" t="str">
        <f>IF(LEFT(Результат[[#This Row],[ЦСР]],2)="06",VLOOKUP(Результат[[#This Row],[ЦСР]],Таблица3[[ЦСР]:[Пункт подпрограммы]],4,0),"")</f>
        <v>1.1.4</v>
      </c>
      <c r="AA16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37" t="str">
        <f t="shared" si="2"/>
        <v>КФКиС</v>
      </c>
    </row>
    <row r="167" spans="1:29" x14ac:dyDescent="0.25">
      <c r="A167" t="s">
        <v>22</v>
      </c>
      <c r="B167">
        <v>1101</v>
      </c>
      <c r="C167" t="s">
        <v>40</v>
      </c>
      <c r="D167">
        <v>611</v>
      </c>
      <c r="E167">
        <v>400010</v>
      </c>
      <c r="F167">
        <v>241</v>
      </c>
      <c r="G167">
        <v>227003</v>
      </c>
      <c r="H167" t="s">
        <v>24</v>
      </c>
      <c r="J167">
        <v>120</v>
      </c>
      <c r="K167">
        <v>272042534</v>
      </c>
      <c r="L167">
        <v>0</v>
      </c>
      <c r="M167">
        <v>0</v>
      </c>
      <c r="N167">
        <v>0</v>
      </c>
      <c r="O167">
        <v>0</v>
      </c>
      <c r="P167">
        <v>0</v>
      </c>
      <c r="Q167">
        <v>0</v>
      </c>
      <c r="R167">
        <v>0</v>
      </c>
      <c r="S167">
        <v>0</v>
      </c>
      <c r="T167">
        <v>10300</v>
      </c>
      <c r="U167">
        <v>10300</v>
      </c>
      <c r="V167">
        <v>-10300</v>
      </c>
      <c r="X167" t="str">
        <f>VLOOKUP(Результат[[#This Row],[Тип средств]],Таблица4[],2,0)</f>
        <v>Бюджетные средства (Бюджет муниципального образования)</v>
      </c>
      <c r="Y167" t="str">
        <f>VLOOKUP(Результат[[#This Row],[Тип средств]],Таблица4[],3,0)</f>
        <v>Местный бюджет</v>
      </c>
      <c r="Z167" t="str">
        <f>IF(LEFT(Результат[[#This Row],[ЦСР]],2)="06",VLOOKUP(Результат[[#This Row],[ЦСР]],Таблица3[[ЦСР]:[Пункт подпрограммы]],4,0),"")</f>
        <v>1.1.4</v>
      </c>
      <c r="AA16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37" t="str">
        <f t="shared" si="2"/>
        <v>КФКиС</v>
      </c>
    </row>
    <row r="168" spans="1:29" x14ac:dyDescent="0.25">
      <c r="A168" t="s">
        <v>22</v>
      </c>
      <c r="B168">
        <v>1101</v>
      </c>
      <c r="C168" t="s">
        <v>40</v>
      </c>
      <c r="D168">
        <v>611</v>
      </c>
      <c r="E168">
        <v>400010</v>
      </c>
      <c r="F168">
        <v>241</v>
      </c>
      <c r="G168">
        <v>227003</v>
      </c>
      <c r="H168" t="s">
        <v>32</v>
      </c>
      <c r="J168">
        <v>120</v>
      </c>
      <c r="K168">
        <v>272042534</v>
      </c>
      <c r="L168">
        <v>0</v>
      </c>
      <c r="M168">
        <v>0</v>
      </c>
      <c r="N168">
        <v>0</v>
      </c>
      <c r="O168">
        <v>0</v>
      </c>
      <c r="P168">
        <v>0</v>
      </c>
      <c r="Q168">
        <v>10000</v>
      </c>
      <c r="R168">
        <v>30000</v>
      </c>
      <c r="S168">
        <v>25900</v>
      </c>
      <c r="T168">
        <v>7900</v>
      </c>
      <c r="U168">
        <v>73800</v>
      </c>
      <c r="V168">
        <v>-73800</v>
      </c>
      <c r="X168" t="str">
        <f>VLOOKUP(Результат[[#This Row],[Тип средств]],Таблица4[],2,0)</f>
        <v>Бюджетные средства (Бюджет муниципального образования)</v>
      </c>
      <c r="Y168" t="str">
        <f>VLOOKUP(Результат[[#This Row],[Тип средств]],Таблица4[],3,0)</f>
        <v>Местный бюджет</v>
      </c>
      <c r="Z168" t="str">
        <f>IF(LEFT(Результат[[#This Row],[ЦСР]],2)="06",VLOOKUP(Результат[[#This Row],[ЦСР]],Таблица3[[ЦСР]:[Пункт подпрограммы]],4,0),"")</f>
        <v>1.1.4</v>
      </c>
      <c r="AA16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37" t="str">
        <f t="shared" si="2"/>
        <v>КФКиС</v>
      </c>
    </row>
    <row r="169" spans="1:29" x14ac:dyDescent="0.25">
      <c r="A169" t="s">
        <v>22</v>
      </c>
      <c r="B169">
        <v>1101</v>
      </c>
      <c r="C169" t="s">
        <v>40</v>
      </c>
      <c r="D169">
        <v>611</v>
      </c>
      <c r="E169">
        <v>400010</v>
      </c>
      <c r="F169">
        <v>241</v>
      </c>
      <c r="G169">
        <v>264002</v>
      </c>
      <c r="H169" t="s">
        <v>32</v>
      </c>
      <c r="J169">
        <v>910</v>
      </c>
      <c r="K169">
        <v>272042534</v>
      </c>
      <c r="L169">
        <v>0</v>
      </c>
      <c r="M169">
        <v>0</v>
      </c>
      <c r="N169">
        <v>0</v>
      </c>
      <c r="O169">
        <v>0</v>
      </c>
      <c r="P169">
        <v>0</v>
      </c>
      <c r="Q169">
        <v>329100</v>
      </c>
      <c r="R169">
        <v>329000</v>
      </c>
      <c r="S169">
        <v>0</v>
      </c>
      <c r="T169">
        <v>0</v>
      </c>
      <c r="U169">
        <v>658100</v>
      </c>
      <c r="V169">
        <v>-658100</v>
      </c>
      <c r="X169" t="str">
        <f>VLOOKUP(Результат[[#This Row],[Тип средств]],Таблица4[],2,0)</f>
        <v>Бюджетные средства (Бюджет муниципального образования)</v>
      </c>
      <c r="Y169" t="str">
        <f>VLOOKUP(Результат[[#This Row],[Тип средств]],Таблица4[],3,0)</f>
        <v>Местный бюджет</v>
      </c>
      <c r="Z169" t="str">
        <f>IF(LEFT(Результат[[#This Row],[ЦСР]],2)="06",VLOOKUP(Результат[[#This Row],[ЦСР]],Таблица3[[ЦСР]:[Пункт подпрограммы]],4,0),"")</f>
        <v>1.1.4</v>
      </c>
      <c r="AA16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37" t="str">
        <f t="shared" si="2"/>
        <v>КФКиС</v>
      </c>
    </row>
    <row r="170" spans="1:29" x14ac:dyDescent="0.25">
      <c r="A170" t="s">
        <v>22</v>
      </c>
      <c r="B170">
        <v>1101</v>
      </c>
      <c r="C170" t="s">
        <v>40</v>
      </c>
      <c r="D170">
        <v>611</v>
      </c>
      <c r="E170">
        <v>400010</v>
      </c>
      <c r="F170">
        <v>241</v>
      </c>
      <c r="G170">
        <v>267001</v>
      </c>
      <c r="H170" t="s">
        <v>29</v>
      </c>
      <c r="J170">
        <v>910</v>
      </c>
      <c r="K170">
        <v>272042534</v>
      </c>
      <c r="L170">
        <v>0</v>
      </c>
      <c r="M170">
        <v>0</v>
      </c>
      <c r="N170">
        <v>0</v>
      </c>
      <c r="O170">
        <v>0</v>
      </c>
      <c r="P170">
        <v>0</v>
      </c>
      <c r="Q170">
        <v>0</v>
      </c>
      <c r="R170">
        <v>40000</v>
      </c>
      <c r="S170">
        <v>120000</v>
      </c>
      <c r="T170">
        <v>120000</v>
      </c>
      <c r="U170">
        <v>280000</v>
      </c>
      <c r="V170">
        <v>-280000</v>
      </c>
      <c r="X170" t="str">
        <f>VLOOKUP(Результат[[#This Row],[Тип средств]],Таблица4[],2,0)</f>
        <v>Бюджетные средства (Бюджет муниципального образования)</v>
      </c>
      <c r="Y170" t="str">
        <f>VLOOKUP(Результат[[#This Row],[Тип средств]],Таблица4[],3,0)</f>
        <v>Местный бюджет</v>
      </c>
      <c r="Z170" t="str">
        <f>IF(LEFT(Результат[[#This Row],[ЦСР]],2)="06",VLOOKUP(Результат[[#This Row],[ЦСР]],Таблица3[[ЦСР]:[Пункт подпрограммы]],4,0),"")</f>
        <v>1.1.4</v>
      </c>
      <c r="AA17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37" t="str">
        <f t="shared" si="2"/>
        <v>КФКиС</v>
      </c>
    </row>
    <row r="171" spans="1:29" x14ac:dyDescent="0.25">
      <c r="A171" t="s">
        <v>22</v>
      </c>
      <c r="B171">
        <v>1101</v>
      </c>
      <c r="C171" t="s">
        <v>40</v>
      </c>
      <c r="D171">
        <v>611</v>
      </c>
      <c r="E171">
        <v>400010</v>
      </c>
      <c r="F171">
        <v>241</v>
      </c>
      <c r="G171">
        <v>267001</v>
      </c>
      <c r="H171" t="s">
        <v>31</v>
      </c>
      <c r="J171">
        <v>910</v>
      </c>
      <c r="K171">
        <v>272042534</v>
      </c>
      <c r="L171">
        <v>0</v>
      </c>
      <c r="M171">
        <v>0</v>
      </c>
      <c r="N171">
        <v>0</v>
      </c>
      <c r="O171">
        <v>0</v>
      </c>
      <c r="P171">
        <v>0</v>
      </c>
      <c r="Q171">
        <v>0</v>
      </c>
      <c r="R171">
        <v>20000</v>
      </c>
      <c r="S171">
        <v>40000</v>
      </c>
      <c r="T171">
        <v>160000</v>
      </c>
      <c r="U171">
        <v>220000</v>
      </c>
      <c r="V171">
        <v>-220000</v>
      </c>
      <c r="X171" t="str">
        <f>VLOOKUP(Результат[[#This Row],[Тип средств]],Таблица4[],2,0)</f>
        <v>Бюджетные средства (Бюджет муниципального образования)</v>
      </c>
      <c r="Y171" t="str">
        <f>VLOOKUP(Результат[[#This Row],[Тип средств]],Таблица4[],3,0)</f>
        <v>Местный бюджет</v>
      </c>
      <c r="Z171" t="str">
        <f>IF(LEFT(Результат[[#This Row],[ЦСР]],2)="06",VLOOKUP(Результат[[#This Row],[ЦСР]],Таблица3[[ЦСР]:[Пункт подпрограммы]],4,0),"")</f>
        <v>1.1.4</v>
      </c>
      <c r="AA17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37" t="str">
        <f t="shared" si="2"/>
        <v>КФКиС</v>
      </c>
    </row>
    <row r="172" spans="1:29" x14ac:dyDescent="0.25">
      <c r="A172" t="s">
        <v>22</v>
      </c>
      <c r="B172">
        <v>1101</v>
      </c>
      <c r="C172" t="s">
        <v>40</v>
      </c>
      <c r="D172">
        <v>611</v>
      </c>
      <c r="E172">
        <v>400010</v>
      </c>
      <c r="F172">
        <v>241</v>
      </c>
      <c r="G172">
        <v>267001</v>
      </c>
      <c r="H172" t="s">
        <v>24</v>
      </c>
      <c r="J172">
        <v>910</v>
      </c>
      <c r="K172">
        <v>272042534</v>
      </c>
      <c r="L172">
        <v>0</v>
      </c>
      <c r="M172">
        <v>0</v>
      </c>
      <c r="N172">
        <v>0</v>
      </c>
      <c r="O172">
        <v>0</v>
      </c>
      <c r="P172">
        <v>0</v>
      </c>
      <c r="Q172">
        <v>20000</v>
      </c>
      <c r="R172">
        <v>60000</v>
      </c>
      <c r="S172">
        <v>20000</v>
      </c>
      <c r="T172">
        <v>0</v>
      </c>
      <c r="U172">
        <v>100000</v>
      </c>
      <c r="V172">
        <v>-100000</v>
      </c>
      <c r="X172" t="str">
        <f>VLOOKUP(Результат[[#This Row],[Тип средств]],Таблица4[],2,0)</f>
        <v>Бюджетные средства (Бюджет муниципального образования)</v>
      </c>
      <c r="Y172" t="str">
        <f>VLOOKUP(Результат[[#This Row],[Тип средств]],Таблица4[],3,0)</f>
        <v>Местный бюджет</v>
      </c>
      <c r="Z172" t="str">
        <f>IF(LEFT(Результат[[#This Row],[ЦСР]],2)="06",VLOOKUP(Результат[[#This Row],[ЦСР]],Таблица3[[ЦСР]:[Пункт подпрограммы]],4,0),"")</f>
        <v>1.1.4</v>
      </c>
      <c r="AA17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37" t="str">
        <f t="shared" si="2"/>
        <v>КФКиС</v>
      </c>
    </row>
    <row r="173" spans="1:29" x14ac:dyDescent="0.25">
      <c r="A173" t="s">
        <v>22</v>
      </c>
      <c r="B173">
        <v>1101</v>
      </c>
      <c r="C173" t="s">
        <v>40</v>
      </c>
      <c r="D173">
        <v>611</v>
      </c>
      <c r="E173">
        <v>400010</v>
      </c>
      <c r="F173">
        <v>241</v>
      </c>
      <c r="G173">
        <v>267001</v>
      </c>
      <c r="H173" t="s">
        <v>32</v>
      </c>
      <c r="J173">
        <v>910</v>
      </c>
      <c r="K173">
        <v>272042534</v>
      </c>
      <c r="L173">
        <v>0</v>
      </c>
      <c r="M173">
        <v>0</v>
      </c>
      <c r="N173">
        <v>0</v>
      </c>
      <c r="O173">
        <v>0</v>
      </c>
      <c r="P173">
        <v>0</v>
      </c>
      <c r="Q173">
        <v>60000</v>
      </c>
      <c r="R173">
        <v>60000</v>
      </c>
      <c r="S173">
        <v>180000</v>
      </c>
      <c r="T173">
        <v>180000</v>
      </c>
      <c r="U173">
        <v>480000</v>
      </c>
      <c r="V173">
        <v>-480000</v>
      </c>
      <c r="X173" t="str">
        <f>VLOOKUP(Результат[[#This Row],[Тип средств]],Таблица4[],2,0)</f>
        <v>Бюджетные средства (Бюджет муниципального образования)</v>
      </c>
      <c r="Y173" t="str">
        <f>VLOOKUP(Результат[[#This Row],[Тип средств]],Таблица4[],3,0)</f>
        <v>Местный бюджет</v>
      </c>
      <c r="Z173" t="str">
        <f>IF(LEFT(Результат[[#This Row],[ЦСР]],2)="06",VLOOKUP(Результат[[#This Row],[ЦСР]],Таблица3[[ЦСР]:[Пункт подпрограммы]],4,0),"")</f>
        <v>1.1.4</v>
      </c>
      <c r="AA17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37" t="str">
        <f t="shared" si="2"/>
        <v>КФКиС</v>
      </c>
    </row>
    <row r="174" spans="1:29" x14ac:dyDescent="0.25">
      <c r="A174" t="s">
        <v>22</v>
      </c>
      <c r="B174">
        <v>1101</v>
      </c>
      <c r="C174" t="s">
        <v>40</v>
      </c>
      <c r="D174">
        <v>611</v>
      </c>
      <c r="E174">
        <v>400010</v>
      </c>
      <c r="F174">
        <v>241</v>
      </c>
      <c r="G174">
        <v>267002</v>
      </c>
      <c r="H174" t="s">
        <v>29</v>
      </c>
      <c r="J174">
        <v>910</v>
      </c>
      <c r="K174">
        <v>272042534</v>
      </c>
      <c r="L174">
        <v>0</v>
      </c>
      <c r="M174">
        <v>0</v>
      </c>
      <c r="N174">
        <v>0</v>
      </c>
      <c r="O174">
        <v>0</v>
      </c>
      <c r="P174">
        <v>0</v>
      </c>
      <c r="Q174">
        <v>0</v>
      </c>
      <c r="R174">
        <v>12100</v>
      </c>
      <c r="S174">
        <v>36300</v>
      </c>
      <c r="T174">
        <v>36200</v>
      </c>
      <c r="U174">
        <v>84600</v>
      </c>
      <c r="V174">
        <v>-84600</v>
      </c>
      <c r="X174" t="str">
        <f>VLOOKUP(Результат[[#This Row],[Тип средств]],Таблица4[],2,0)</f>
        <v>Бюджетные средства (Бюджет муниципального образования)</v>
      </c>
      <c r="Y174" t="str">
        <f>VLOOKUP(Результат[[#This Row],[Тип средств]],Таблица4[],3,0)</f>
        <v>Местный бюджет</v>
      </c>
      <c r="Z174" t="str">
        <f>IF(LEFT(Результат[[#This Row],[ЦСР]],2)="06",VLOOKUP(Результат[[#This Row],[ЦСР]],Таблица3[[ЦСР]:[Пункт подпрограммы]],4,0),"")</f>
        <v>1.1.4</v>
      </c>
      <c r="AA17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37" t="str">
        <f t="shared" si="2"/>
        <v>КФКиС</v>
      </c>
    </row>
    <row r="175" spans="1:29" x14ac:dyDescent="0.25">
      <c r="A175" t="s">
        <v>22</v>
      </c>
      <c r="B175">
        <v>1101</v>
      </c>
      <c r="C175" t="s">
        <v>40</v>
      </c>
      <c r="D175">
        <v>611</v>
      </c>
      <c r="E175">
        <v>400010</v>
      </c>
      <c r="F175">
        <v>241</v>
      </c>
      <c r="G175">
        <v>267002</v>
      </c>
      <c r="H175" t="s">
        <v>31</v>
      </c>
      <c r="J175">
        <v>910</v>
      </c>
      <c r="K175">
        <v>272042534</v>
      </c>
      <c r="L175">
        <v>0</v>
      </c>
      <c r="M175">
        <v>0</v>
      </c>
      <c r="N175">
        <v>0</v>
      </c>
      <c r="O175">
        <v>0</v>
      </c>
      <c r="P175">
        <v>0</v>
      </c>
      <c r="Q175">
        <v>0</v>
      </c>
      <c r="R175">
        <v>6000</v>
      </c>
      <c r="S175">
        <v>12080</v>
      </c>
      <c r="T175">
        <v>48320</v>
      </c>
      <c r="U175">
        <v>66400</v>
      </c>
      <c r="V175">
        <v>-66400</v>
      </c>
      <c r="X175" t="str">
        <f>VLOOKUP(Результат[[#This Row],[Тип средств]],Таблица4[],2,0)</f>
        <v>Бюджетные средства (Бюджет муниципального образования)</v>
      </c>
      <c r="Y175" t="str">
        <f>VLOOKUP(Результат[[#This Row],[Тип средств]],Таблица4[],3,0)</f>
        <v>Местный бюджет</v>
      </c>
      <c r="Z175" t="str">
        <f>IF(LEFT(Результат[[#This Row],[ЦСР]],2)="06",VLOOKUP(Результат[[#This Row],[ЦСР]],Таблица3[[ЦСР]:[Пункт подпрограммы]],4,0),"")</f>
        <v>1.1.4</v>
      </c>
      <c r="AA17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37" t="str">
        <f t="shared" si="2"/>
        <v>КФКиС</v>
      </c>
    </row>
    <row r="176" spans="1:29" x14ac:dyDescent="0.25">
      <c r="A176" t="s">
        <v>22</v>
      </c>
      <c r="B176">
        <v>1101</v>
      </c>
      <c r="C176" t="s">
        <v>40</v>
      </c>
      <c r="D176">
        <v>611</v>
      </c>
      <c r="E176">
        <v>400010</v>
      </c>
      <c r="F176">
        <v>241</v>
      </c>
      <c r="G176">
        <v>267002</v>
      </c>
      <c r="H176" t="s">
        <v>24</v>
      </c>
      <c r="J176">
        <v>910</v>
      </c>
      <c r="K176">
        <v>272042534</v>
      </c>
      <c r="L176">
        <v>0</v>
      </c>
      <c r="M176">
        <v>0</v>
      </c>
      <c r="N176">
        <v>0</v>
      </c>
      <c r="O176">
        <v>0</v>
      </c>
      <c r="P176">
        <v>0</v>
      </c>
      <c r="Q176">
        <v>6040</v>
      </c>
      <c r="R176">
        <v>18120</v>
      </c>
      <c r="S176">
        <v>6040</v>
      </c>
      <c r="T176">
        <v>0</v>
      </c>
      <c r="U176">
        <v>30200</v>
      </c>
      <c r="V176">
        <v>-30200</v>
      </c>
      <c r="X176" t="str">
        <f>VLOOKUP(Результат[[#This Row],[Тип средств]],Таблица4[],2,0)</f>
        <v>Бюджетные средства (Бюджет муниципального образования)</v>
      </c>
      <c r="Y176" t="str">
        <f>VLOOKUP(Результат[[#This Row],[Тип средств]],Таблица4[],3,0)</f>
        <v>Местный бюджет</v>
      </c>
      <c r="Z176" t="str">
        <f>IF(LEFT(Результат[[#This Row],[ЦСР]],2)="06",VLOOKUP(Результат[[#This Row],[ЦСР]],Таблица3[[ЦСР]:[Пункт подпрограммы]],4,0),"")</f>
        <v>1.1.4</v>
      </c>
      <c r="AA17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37" t="str">
        <f t="shared" si="2"/>
        <v>КФКиС</v>
      </c>
    </row>
    <row r="177" spans="1:29" x14ac:dyDescent="0.25">
      <c r="A177" t="s">
        <v>22</v>
      </c>
      <c r="B177">
        <v>1101</v>
      </c>
      <c r="C177" t="s">
        <v>40</v>
      </c>
      <c r="D177">
        <v>611</v>
      </c>
      <c r="E177">
        <v>400010</v>
      </c>
      <c r="F177">
        <v>241</v>
      </c>
      <c r="G177">
        <v>267002</v>
      </c>
      <c r="H177" t="s">
        <v>32</v>
      </c>
      <c r="J177">
        <v>910</v>
      </c>
      <c r="K177">
        <v>272042534</v>
      </c>
      <c r="L177">
        <v>0</v>
      </c>
      <c r="M177">
        <v>0</v>
      </c>
      <c r="N177">
        <v>0</v>
      </c>
      <c r="O177">
        <v>0</v>
      </c>
      <c r="P177">
        <v>0</v>
      </c>
      <c r="Q177">
        <v>18120</v>
      </c>
      <c r="R177">
        <v>18120</v>
      </c>
      <c r="S177">
        <v>54360</v>
      </c>
      <c r="T177">
        <v>54400</v>
      </c>
      <c r="U177">
        <v>145000</v>
      </c>
      <c r="V177">
        <v>-145000</v>
      </c>
      <c r="X177" t="str">
        <f>VLOOKUP(Результат[[#This Row],[Тип средств]],Таблица4[],2,0)</f>
        <v>Бюджетные средства (Бюджет муниципального образования)</v>
      </c>
      <c r="Y177" t="str">
        <f>VLOOKUP(Результат[[#This Row],[Тип средств]],Таблица4[],3,0)</f>
        <v>Местный бюджет</v>
      </c>
      <c r="Z177" t="str">
        <f>IF(LEFT(Результат[[#This Row],[ЦСР]],2)="06",VLOOKUP(Результат[[#This Row],[ЦСР]],Таблица3[[ЦСР]:[Пункт подпрограммы]],4,0),"")</f>
        <v>1.1.4</v>
      </c>
      <c r="AA17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37" t="str">
        <f t="shared" si="2"/>
        <v>КФКиС</v>
      </c>
    </row>
    <row r="178" spans="1:29" x14ac:dyDescent="0.25">
      <c r="A178" t="s">
        <v>22</v>
      </c>
      <c r="B178">
        <v>1101</v>
      </c>
      <c r="C178" t="s">
        <v>40</v>
      </c>
      <c r="D178">
        <v>611</v>
      </c>
      <c r="E178">
        <v>400010</v>
      </c>
      <c r="F178">
        <v>241</v>
      </c>
      <c r="G178">
        <v>291001</v>
      </c>
      <c r="H178" t="s">
        <v>29</v>
      </c>
      <c r="J178">
        <v>910</v>
      </c>
      <c r="K178">
        <v>272042534</v>
      </c>
      <c r="L178">
        <v>0</v>
      </c>
      <c r="M178">
        <v>0</v>
      </c>
      <c r="N178">
        <v>0</v>
      </c>
      <c r="O178">
        <v>258802</v>
      </c>
      <c r="P178">
        <v>-258802</v>
      </c>
      <c r="Q178">
        <v>625400</v>
      </c>
      <c r="R178">
        <v>624200</v>
      </c>
      <c r="S178">
        <v>624200</v>
      </c>
      <c r="T178">
        <v>623800</v>
      </c>
      <c r="U178">
        <v>2497600</v>
      </c>
      <c r="V178">
        <v>-2497600</v>
      </c>
      <c r="X178" t="str">
        <f>VLOOKUP(Результат[[#This Row],[Тип средств]],Таблица4[],2,0)</f>
        <v>Бюджетные средства (Бюджет муниципального образования)</v>
      </c>
      <c r="Y178" t="str">
        <f>VLOOKUP(Результат[[#This Row],[Тип средств]],Таблица4[],3,0)</f>
        <v>Местный бюджет</v>
      </c>
      <c r="Z178" t="str">
        <f>IF(LEFT(Результат[[#This Row],[ЦСР]],2)="06",VLOOKUP(Результат[[#This Row],[ЦСР]],Таблица3[[ЦСР]:[Пункт подпрограммы]],4,0),"")</f>
        <v>1.1.4</v>
      </c>
      <c r="AA17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37" t="str">
        <f t="shared" si="2"/>
        <v>КФКиС</v>
      </c>
    </row>
    <row r="179" spans="1:29" x14ac:dyDescent="0.25">
      <c r="A179" t="s">
        <v>22</v>
      </c>
      <c r="B179">
        <v>1101</v>
      </c>
      <c r="C179" t="s">
        <v>40</v>
      </c>
      <c r="D179">
        <v>611</v>
      </c>
      <c r="E179">
        <v>400010</v>
      </c>
      <c r="F179">
        <v>241</v>
      </c>
      <c r="G179">
        <v>291001</v>
      </c>
      <c r="H179" t="s">
        <v>31</v>
      </c>
      <c r="J179">
        <v>910</v>
      </c>
      <c r="K179">
        <v>272042534</v>
      </c>
      <c r="L179">
        <v>0</v>
      </c>
      <c r="M179">
        <v>0</v>
      </c>
      <c r="N179">
        <v>0</v>
      </c>
      <c r="O179">
        <v>0</v>
      </c>
      <c r="P179">
        <v>0</v>
      </c>
      <c r="Q179">
        <v>86575</v>
      </c>
      <c r="R179">
        <v>86575</v>
      </c>
      <c r="S179">
        <v>86575</v>
      </c>
      <c r="T179">
        <v>86575</v>
      </c>
      <c r="U179">
        <v>346300</v>
      </c>
      <c r="V179">
        <v>-346300</v>
      </c>
      <c r="X179" t="str">
        <f>VLOOKUP(Результат[[#This Row],[Тип средств]],Таблица4[],2,0)</f>
        <v>Бюджетные средства (Бюджет муниципального образования)</v>
      </c>
      <c r="Y179" t="str">
        <f>VLOOKUP(Результат[[#This Row],[Тип средств]],Таблица4[],3,0)</f>
        <v>Местный бюджет</v>
      </c>
      <c r="Z179" t="str">
        <f>IF(LEFT(Результат[[#This Row],[ЦСР]],2)="06",VLOOKUP(Результат[[#This Row],[ЦСР]],Таблица3[[ЦСР]:[Пункт подпрограммы]],4,0),"")</f>
        <v>1.1.4</v>
      </c>
      <c r="AA17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37" t="str">
        <f t="shared" si="2"/>
        <v>КФКиС</v>
      </c>
    </row>
    <row r="180" spans="1:29" x14ac:dyDescent="0.25">
      <c r="A180" t="s">
        <v>22</v>
      </c>
      <c r="B180">
        <v>1101</v>
      </c>
      <c r="C180" t="s">
        <v>40</v>
      </c>
      <c r="D180">
        <v>611</v>
      </c>
      <c r="E180">
        <v>400010</v>
      </c>
      <c r="F180">
        <v>241</v>
      </c>
      <c r="G180">
        <v>291001</v>
      </c>
      <c r="H180" t="s">
        <v>24</v>
      </c>
      <c r="J180">
        <v>910</v>
      </c>
      <c r="K180">
        <v>272042534</v>
      </c>
      <c r="L180">
        <v>0</v>
      </c>
      <c r="M180">
        <v>0</v>
      </c>
      <c r="N180">
        <v>0</v>
      </c>
      <c r="O180">
        <v>0</v>
      </c>
      <c r="P180">
        <v>0</v>
      </c>
      <c r="Q180">
        <v>1200000</v>
      </c>
      <c r="R180">
        <v>1200000</v>
      </c>
      <c r="S180">
        <v>1200000</v>
      </c>
      <c r="T180">
        <v>1141300</v>
      </c>
      <c r="U180">
        <v>4741300</v>
      </c>
      <c r="V180">
        <v>-4741300</v>
      </c>
      <c r="X180" t="str">
        <f>VLOOKUP(Результат[[#This Row],[Тип средств]],Таблица4[],2,0)</f>
        <v>Бюджетные средства (Бюджет муниципального образования)</v>
      </c>
      <c r="Y180" t="str">
        <f>VLOOKUP(Результат[[#This Row],[Тип средств]],Таблица4[],3,0)</f>
        <v>Местный бюджет</v>
      </c>
      <c r="Z180" t="str">
        <f>IF(LEFT(Результат[[#This Row],[ЦСР]],2)="06",VLOOKUP(Результат[[#This Row],[ЦСР]],Таблица3[[ЦСР]:[Пункт подпрограммы]],4,0),"")</f>
        <v>1.1.4</v>
      </c>
      <c r="AA18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37" t="str">
        <f t="shared" si="2"/>
        <v>КФКиС</v>
      </c>
    </row>
    <row r="181" spans="1:29" x14ac:dyDescent="0.25">
      <c r="A181" t="s">
        <v>22</v>
      </c>
      <c r="B181">
        <v>1101</v>
      </c>
      <c r="C181" t="s">
        <v>40</v>
      </c>
      <c r="D181">
        <v>611</v>
      </c>
      <c r="E181">
        <v>400010</v>
      </c>
      <c r="F181">
        <v>241</v>
      </c>
      <c r="G181">
        <v>291001</v>
      </c>
      <c r="H181" t="s">
        <v>32</v>
      </c>
      <c r="J181">
        <v>910</v>
      </c>
      <c r="K181">
        <v>272042534</v>
      </c>
      <c r="L181">
        <v>0</v>
      </c>
      <c r="M181">
        <v>0</v>
      </c>
      <c r="N181">
        <v>0</v>
      </c>
      <c r="O181">
        <v>0</v>
      </c>
      <c r="P181">
        <v>0</v>
      </c>
      <c r="Q181">
        <v>8371500</v>
      </c>
      <c r="R181">
        <v>8371500</v>
      </c>
      <c r="S181">
        <v>8371500</v>
      </c>
      <c r="T181">
        <v>8371500</v>
      </c>
      <c r="U181">
        <v>33486000</v>
      </c>
      <c r="V181">
        <v>-33486000</v>
      </c>
      <c r="X181" t="str">
        <f>VLOOKUP(Результат[[#This Row],[Тип средств]],Таблица4[],2,0)</f>
        <v>Бюджетные средства (Бюджет муниципального образования)</v>
      </c>
      <c r="Y181" t="str">
        <f>VLOOKUP(Результат[[#This Row],[Тип средств]],Таблица4[],3,0)</f>
        <v>Местный бюджет</v>
      </c>
      <c r="Z181" t="str">
        <f>IF(LEFT(Результат[[#This Row],[ЦСР]],2)="06",VLOOKUP(Результат[[#This Row],[ЦСР]],Таблица3[[ЦСР]:[Пункт подпрограммы]],4,0),"")</f>
        <v>1.1.4</v>
      </c>
      <c r="AA18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37" t="str">
        <f t="shared" si="2"/>
        <v>КФКиС</v>
      </c>
    </row>
    <row r="182" spans="1:29" x14ac:dyDescent="0.25">
      <c r="A182" t="s">
        <v>22</v>
      </c>
      <c r="B182">
        <v>1101</v>
      </c>
      <c r="C182" t="s">
        <v>40</v>
      </c>
      <c r="D182">
        <v>611</v>
      </c>
      <c r="E182">
        <v>400010</v>
      </c>
      <c r="F182">
        <v>241</v>
      </c>
      <c r="G182">
        <v>341001</v>
      </c>
      <c r="H182" t="s">
        <v>29</v>
      </c>
      <c r="J182">
        <v>120</v>
      </c>
      <c r="K182">
        <v>272042534</v>
      </c>
      <c r="L182">
        <v>0</v>
      </c>
      <c r="M182">
        <v>0</v>
      </c>
      <c r="N182">
        <v>0</v>
      </c>
      <c r="O182">
        <v>0</v>
      </c>
      <c r="P182">
        <v>0</v>
      </c>
      <c r="Q182">
        <v>0</v>
      </c>
      <c r="R182">
        <v>11000</v>
      </c>
      <c r="S182">
        <v>0</v>
      </c>
      <c r="T182">
        <v>0</v>
      </c>
      <c r="U182">
        <v>11000</v>
      </c>
      <c r="V182">
        <v>-11000</v>
      </c>
      <c r="X182" t="str">
        <f>VLOOKUP(Результат[[#This Row],[Тип средств]],Таблица4[],2,0)</f>
        <v>Бюджетные средства (Бюджет муниципального образования)</v>
      </c>
      <c r="Y182" t="str">
        <f>VLOOKUP(Результат[[#This Row],[Тип средств]],Таблица4[],3,0)</f>
        <v>Местный бюджет</v>
      </c>
      <c r="Z182" t="str">
        <f>IF(LEFT(Результат[[#This Row],[ЦСР]],2)="06",VLOOKUP(Результат[[#This Row],[ЦСР]],Таблица3[[ЦСР]:[Пункт подпрограммы]],4,0),"")</f>
        <v>1.1.4</v>
      </c>
      <c r="AA18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37" t="str">
        <f t="shared" si="2"/>
        <v>КФКиС</v>
      </c>
    </row>
    <row r="183" spans="1:29" x14ac:dyDescent="0.25">
      <c r="A183" t="s">
        <v>22</v>
      </c>
      <c r="B183">
        <v>1101</v>
      </c>
      <c r="C183" t="s">
        <v>40</v>
      </c>
      <c r="D183">
        <v>611</v>
      </c>
      <c r="E183">
        <v>400010</v>
      </c>
      <c r="F183">
        <v>241</v>
      </c>
      <c r="G183">
        <v>343001</v>
      </c>
      <c r="H183" t="s">
        <v>24</v>
      </c>
      <c r="J183">
        <v>110</v>
      </c>
      <c r="K183">
        <v>272042534</v>
      </c>
      <c r="L183">
        <v>0</v>
      </c>
      <c r="M183">
        <v>0</v>
      </c>
      <c r="N183">
        <v>0</v>
      </c>
      <c r="O183">
        <v>0</v>
      </c>
      <c r="P183">
        <v>0</v>
      </c>
      <c r="Q183">
        <v>55800</v>
      </c>
      <c r="R183">
        <v>0</v>
      </c>
      <c r="S183">
        <v>0</v>
      </c>
      <c r="T183">
        <v>50000</v>
      </c>
      <c r="U183">
        <v>105800</v>
      </c>
      <c r="V183">
        <v>-105800</v>
      </c>
      <c r="X183" t="str">
        <f>VLOOKUP(Результат[[#This Row],[Тип средств]],Таблица4[],2,0)</f>
        <v>Бюджетные средства (Бюджет муниципального образования)</v>
      </c>
      <c r="Y183" t="str">
        <f>VLOOKUP(Результат[[#This Row],[Тип средств]],Таблица4[],3,0)</f>
        <v>Местный бюджет</v>
      </c>
      <c r="Z183" t="str">
        <f>IF(LEFT(Результат[[#This Row],[ЦСР]],2)="06",VLOOKUP(Результат[[#This Row],[ЦСР]],Таблица3[[ЦСР]:[Пункт подпрограммы]],4,0),"")</f>
        <v>1.1.4</v>
      </c>
      <c r="AA18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37" t="str">
        <f t="shared" si="2"/>
        <v>КФКиС</v>
      </c>
    </row>
    <row r="184" spans="1:29" x14ac:dyDescent="0.25">
      <c r="A184" t="s">
        <v>22</v>
      </c>
      <c r="B184">
        <v>1101</v>
      </c>
      <c r="C184" t="s">
        <v>40</v>
      </c>
      <c r="D184">
        <v>611</v>
      </c>
      <c r="E184">
        <v>400010</v>
      </c>
      <c r="F184">
        <v>241</v>
      </c>
      <c r="G184">
        <v>343001</v>
      </c>
      <c r="H184" t="s">
        <v>32</v>
      </c>
      <c r="J184">
        <v>110</v>
      </c>
      <c r="K184">
        <v>272042534</v>
      </c>
      <c r="L184">
        <v>0</v>
      </c>
      <c r="M184">
        <v>0</v>
      </c>
      <c r="N184">
        <v>0</v>
      </c>
      <c r="O184">
        <v>0</v>
      </c>
      <c r="P184">
        <v>0</v>
      </c>
      <c r="Q184">
        <v>200000</v>
      </c>
      <c r="R184">
        <v>197300</v>
      </c>
      <c r="S184">
        <v>0</v>
      </c>
      <c r="T184">
        <v>0</v>
      </c>
      <c r="U184">
        <v>397300</v>
      </c>
      <c r="V184">
        <v>-397300</v>
      </c>
      <c r="X184" t="str">
        <f>VLOOKUP(Результат[[#This Row],[Тип средств]],Таблица4[],2,0)</f>
        <v>Бюджетные средства (Бюджет муниципального образования)</v>
      </c>
      <c r="Y184" t="str">
        <f>VLOOKUP(Результат[[#This Row],[Тип средств]],Таблица4[],3,0)</f>
        <v>Местный бюджет</v>
      </c>
      <c r="Z184" t="str">
        <f>IF(LEFT(Результат[[#This Row],[ЦСР]],2)="06",VLOOKUP(Результат[[#This Row],[ЦСР]],Таблица3[[ЦСР]:[Пункт подпрограммы]],4,0),"")</f>
        <v>1.1.4</v>
      </c>
      <c r="AA18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37" t="str">
        <f t="shared" si="2"/>
        <v>КФКиС</v>
      </c>
    </row>
    <row r="185" spans="1:29" x14ac:dyDescent="0.25">
      <c r="A185" t="s">
        <v>22</v>
      </c>
      <c r="B185">
        <v>1101</v>
      </c>
      <c r="C185" t="s">
        <v>40</v>
      </c>
      <c r="D185">
        <v>611</v>
      </c>
      <c r="E185">
        <v>400010</v>
      </c>
      <c r="F185">
        <v>241</v>
      </c>
      <c r="G185">
        <v>343001</v>
      </c>
      <c r="H185" t="s">
        <v>24</v>
      </c>
      <c r="J185">
        <v>120</v>
      </c>
      <c r="K185">
        <v>272042534</v>
      </c>
      <c r="L185">
        <v>0</v>
      </c>
      <c r="M185">
        <v>0</v>
      </c>
      <c r="N185">
        <v>0</v>
      </c>
      <c r="O185">
        <v>0</v>
      </c>
      <c r="P185">
        <v>0</v>
      </c>
      <c r="Q185">
        <v>220000</v>
      </c>
      <c r="R185">
        <v>100000</v>
      </c>
      <c r="S185">
        <v>200000</v>
      </c>
      <c r="T185">
        <v>78800</v>
      </c>
      <c r="U185">
        <v>598800</v>
      </c>
      <c r="V185">
        <v>-598800</v>
      </c>
      <c r="X185" t="str">
        <f>VLOOKUP(Результат[[#This Row],[Тип средств]],Таблица4[],2,0)</f>
        <v>Бюджетные средства (Бюджет муниципального образования)</v>
      </c>
      <c r="Y185" t="str">
        <f>VLOOKUP(Результат[[#This Row],[Тип средств]],Таблица4[],3,0)</f>
        <v>Местный бюджет</v>
      </c>
      <c r="Z185" t="str">
        <f>IF(LEFT(Результат[[#This Row],[ЦСР]],2)="06",VLOOKUP(Результат[[#This Row],[ЦСР]],Таблица3[[ЦСР]:[Пункт подпрограммы]],4,0),"")</f>
        <v>1.1.4</v>
      </c>
      <c r="AA18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37" t="str">
        <f t="shared" si="2"/>
        <v>КФКиС</v>
      </c>
    </row>
    <row r="186" spans="1:29" x14ac:dyDescent="0.25">
      <c r="A186" t="s">
        <v>22</v>
      </c>
      <c r="B186">
        <v>1101</v>
      </c>
      <c r="C186" t="s">
        <v>40</v>
      </c>
      <c r="D186">
        <v>611</v>
      </c>
      <c r="E186">
        <v>400010</v>
      </c>
      <c r="F186">
        <v>241</v>
      </c>
      <c r="G186">
        <v>343001</v>
      </c>
      <c r="H186" t="s">
        <v>32</v>
      </c>
      <c r="J186">
        <v>120</v>
      </c>
      <c r="K186">
        <v>272042534</v>
      </c>
      <c r="L186">
        <v>0</v>
      </c>
      <c r="M186">
        <v>0</v>
      </c>
      <c r="N186">
        <v>0</v>
      </c>
      <c r="O186">
        <v>0</v>
      </c>
      <c r="P186">
        <v>0</v>
      </c>
      <c r="Q186">
        <v>160000</v>
      </c>
      <c r="R186">
        <v>250000</v>
      </c>
      <c r="S186">
        <v>250000</v>
      </c>
      <c r="T186">
        <v>269800</v>
      </c>
      <c r="U186">
        <v>929800</v>
      </c>
      <c r="V186">
        <v>-929800</v>
      </c>
      <c r="X186" t="str">
        <f>VLOOKUP(Результат[[#This Row],[Тип средств]],Таблица4[],2,0)</f>
        <v>Бюджетные средства (Бюджет муниципального образования)</v>
      </c>
      <c r="Y186" t="str">
        <f>VLOOKUP(Результат[[#This Row],[Тип средств]],Таблица4[],3,0)</f>
        <v>Местный бюджет</v>
      </c>
      <c r="Z186" t="str">
        <f>IF(LEFT(Результат[[#This Row],[ЦСР]],2)="06",VLOOKUP(Результат[[#This Row],[ЦСР]],Таблица3[[ЦСР]:[Пункт подпрограммы]],4,0),"")</f>
        <v>1.1.4</v>
      </c>
      <c r="AA18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37" t="str">
        <f t="shared" si="2"/>
        <v>КФКиС</v>
      </c>
    </row>
    <row r="187" spans="1:29" x14ac:dyDescent="0.25">
      <c r="A187" t="s">
        <v>22</v>
      </c>
      <c r="B187">
        <v>1101</v>
      </c>
      <c r="C187" t="s">
        <v>40</v>
      </c>
      <c r="D187">
        <v>611</v>
      </c>
      <c r="E187">
        <v>400010</v>
      </c>
      <c r="F187">
        <v>241</v>
      </c>
      <c r="G187">
        <v>344001</v>
      </c>
      <c r="H187" t="s">
        <v>32</v>
      </c>
      <c r="J187">
        <v>120</v>
      </c>
      <c r="K187">
        <v>272042534</v>
      </c>
      <c r="L187">
        <v>0</v>
      </c>
      <c r="M187">
        <v>0</v>
      </c>
      <c r="N187">
        <v>0</v>
      </c>
      <c r="O187">
        <v>0</v>
      </c>
      <c r="P187">
        <v>0</v>
      </c>
      <c r="Q187">
        <v>100000</v>
      </c>
      <c r="R187">
        <v>100000</v>
      </c>
      <c r="S187">
        <v>100000</v>
      </c>
      <c r="T187">
        <v>23000</v>
      </c>
      <c r="U187">
        <v>323000</v>
      </c>
      <c r="V187">
        <v>-323000</v>
      </c>
      <c r="X187" t="str">
        <f>VLOOKUP(Результат[[#This Row],[Тип средств]],Таблица4[],2,0)</f>
        <v>Бюджетные средства (Бюджет муниципального образования)</v>
      </c>
      <c r="Y187" t="str">
        <f>VLOOKUP(Результат[[#This Row],[Тип средств]],Таблица4[],3,0)</f>
        <v>Местный бюджет</v>
      </c>
      <c r="Z187" t="str">
        <f>IF(LEFT(Результат[[#This Row],[ЦСР]],2)="06",VLOOKUP(Результат[[#This Row],[ЦСР]],Таблица3[[ЦСР]:[Пункт подпрограммы]],4,0),"")</f>
        <v>1.1.4</v>
      </c>
      <c r="AA18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37" t="str">
        <f t="shared" si="2"/>
        <v>КФКиС</v>
      </c>
    </row>
    <row r="188" spans="1:29" x14ac:dyDescent="0.25">
      <c r="A188" t="s">
        <v>22</v>
      </c>
      <c r="B188">
        <v>1101</v>
      </c>
      <c r="C188" t="s">
        <v>40</v>
      </c>
      <c r="D188">
        <v>611</v>
      </c>
      <c r="E188">
        <v>400010</v>
      </c>
      <c r="F188">
        <v>241</v>
      </c>
      <c r="G188">
        <v>345003</v>
      </c>
      <c r="H188" t="s">
        <v>29</v>
      </c>
      <c r="J188">
        <v>120</v>
      </c>
      <c r="K188">
        <v>272042534</v>
      </c>
      <c r="L188">
        <v>0</v>
      </c>
      <c r="M188">
        <v>0</v>
      </c>
      <c r="N188">
        <v>0</v>
      </c>
      <c r="O188">
        <v>0</v>
      </c>
      <c r="P188">
        <v>0</v>
      </c>
      <c r="Q188">
        <v>38000</v>
      </c>
      <c r="R188">
        <v>0</v>
      </c>
      <c r="S188">
        <v>0</v>
      </c>
      <c r="T188">
        <v>38200</v>
      </c>
      <c r="U188">
        <v>76200</v>
      </c>
      <c r="V188">
        <v>-76200</v>
      </c>
      <c r="X188" t="str">
        <f>VLOOKUP(Результат[[#This Row],[Тип средств]],Таблица4[],2,0)</f>
        <v>Бюджетные средства (Бюджет муниципального образования)</v>
      </c>
      <c r="Y188" t="str">
        <f>VLOOKUP(Результат[[#This Row],[Тип средств]],Таблица4[],3,0)</f>
        <v>Местный бюджет</v>
      </c>
      <c r="Z188" t="str">
        <f>IF(LEFT(Результат[[#This Row],[ЦСР]],2)="06",VLOOKUP(Результат[[#This Row],[ЦСР]],Таблица3[[ЦСР]:[Пункт подпрограммы]],4,0),"")</f>
        <v>1.1.4</v>
      </c>
      <c r="AA18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37" t="str">
        <f t="shared" si="2"/>
        <v>КФКиС</v>
      </c>
    </row>
    <row r="189" spans="1:29" x14ac:dyDescent="0.25">
      <c r="A189" t="s">
        <v>22</v>
      </c>
      <c r="B189">
        <v>1101</v>
      </c>
      <c r="C189" t="s">
        <v>40</v>
      </c>
      <c r="D189">
        <v>611</v>
      </c>
      <c r="E189">
        <v>400010</v>
      </c>
      <c r="F189">
        <v>241</v>
      </c>
      <c r="G189">
        <v>345003</v>
      </c>
      <c r="H189" t="s">
        <v>31</v>
      </c>
      <c r="J189">
        <v>120</v>
      </c>
      <c r="K189">
        <v>272042534</v>
      </c>
      <c r="L189">
        <v>0</v>
      </c>
      <c r="M189">
        <v>0</v>
      </c>
      <c r="N189">
        <v>0</v>
      </c>
      <c r="O189">
        <v>0</v>
      </c>
      <c r="P189">
        <v>0</v>
      </c>
      <c r="Q189">
        <v>0</v>
      </c>
      <c r="R189">
        <v>12000</v>
      </c>
      <c r="S189">
        <v>0</v>
      </c>
      <c r="T189">
        <v>0</v>
      </c>
      <c r="U189">
        <v>12000</v>
      </c>
      <c r="V189">
        <v>-12000</v>
      </c>
      <c r="X189" t="str">
        <f>VLOOKUP(Результат[[#This Row],[Тип средств]],Таблица4[],2,0)</f>
        <v>Бюджетные средства (Бюджет муниципального образования)</v>
      </c>
      <c r="Y189" t="str">
        <f>VLOOKUP(Результат[[#This Row],[Тип средств]],Таблица4[],3,0)</f>
        <v>Местный бюджет</v>
      </c>
      <c r="Z189" t="str">
        <f>IF(LEFT(Результат[[#This Row],[ЦСР]],2)="06",VLOOKUP(Результат[[#This Row],[ЦСР]],Таблица3[[ЦСР]:[Пункт подпрограммы]],4,0),"")</f>
        <v>1.1.4</v>
      </c>
      <c r="AA18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37" t="str">
        <f t="shared" si="2"/>
        <v>КФКиС</v>
      </c>
    </row>
    <row r="190" spans="1:29" x14ac:dyDescent="0.25">
      <c r="A190" t="s">
        <v>22</v>
      </c>
      <c r="B190">
        <v>1101</v>
      </c>
      <c r="C190" t="s">
        <v>40</v>
      </c>
      <c r="D190">
        <v>611</v>
      </c>
      <c r="E190">
        <v>400010</v>
      </c>
      <c r="F190">
        <v>241</v>
      </c>
      <c r="G190">
        <v>345003</v>
      </c>
      <c r="H190" t="s">
        <v>32</v>
      </c>
      <c r="J190">
        <v>120</v>
      </c>
      <c r="K190">
        <v>272042534</v>
      </c>
      <c r="L190">
        <v>0</v>
      </c>
      <c r="M190">
        <v>0</v>
      </c>
      <c r="N190">
        <v>0</v>
      </c>
      <c r="O190">
        <v>0</v>
      </c>
      <c r="P190">
        <v>0</v>
      </c>
      <c r="Q190">
        <v>60000</v>
      </c>
      <c r="R190">
        <v>149000</v>
      </c>
      <c r="S190">
        <v>120000</v>
      </c>
      <c r="T190">
        <v>120800</v>
      </c>
      <c r="U190">
        <v>449800</v>
      </c>
      <c r="V190">
        <v>-449800</v>
      </c>
      <c r="X190" t="str">
        <f>VLOOKUP(Результат[[#This Row],[Тип средств]],Таблица4[],2,0)</f>
        <v>Бюджетные средства (Бюджет муниципального образования)</v>
      </c>
      <c r="Y190" t="str">
        <f>VLOOKUP(Результат[[#This Row],[Тип средств]],Таблица4[],3,0)</f>
        <v>Местный бюджет</v>
      </c>
      <c r="Z190" t="str">
        <f>IF(LEFT(Результат[[#This Row],[ЦСР]],2)="06",VLOOKUP(Результат[[#This Row],[ЦСР]],Таблица3[[ЦСР]:[Пункт подпрограммы]],4,0),"")</f>
        <v>1.1.4</v>
      </c>
      <c r="AA19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37" t="str">
        <f t="shared" si="2"/>
        <v>КФКиС</v>
      </c>
    </row>
    <row r="191" spans="1:29" x14ac:dyDescent="0.25">
      <c r="A191" t="s">
        <v>22</v>
      </c>
      <c r="B191">
        <v>1101</v>
      </c>
      <c r="C191" t="s">
        <v>40</v>
      </c>
      <c r="D191">
        <v>611</v>
      </c>
      <c r="E191">
        <v>400010</v>
      </c>
      <c r="F191">
        <v>241</v>
      </c>
      <c r="G191">
        <v>346001</v>
      </c>
      <c r="H191" t="s">
        <v>29</v>
      </c>
      <c r="J191">
        <v>120</v>
      </c>
      <c r="K191">
        <v>272042534</v>
      </c>
      <c r="L191">
        <v>0</v>
      </c>
      <c r="M191">
        <v>0</v>
      </c>
      <c r="N191">
        <v>0</v>
      </c>
      <c r="O191">
        <v>0</v>
      </c>
      <c r="P191">
        <v>0</v>
      </c>
      <c r="Q191">
        <v>50000</v>
      </c>
      <c r="R191">
        <v>50000</v>
      </c>
      <c r="S191">
        <v>50000</v>
      </c>
      <c r="T191">
        <v>50000</v>
      </c>
      <c r="U191">
        <v>200000</v>
      </c>
      <c r="V191">
        <v>-200000</v>
      </c>
      <c r="X191" t="str">
        <f>VLOOKUP(Результат[[#This Row],[Тип средств]],Таблица4[],2,0)</f>
        <v>Бюджетные средства (Бюджет муниципального образования)</v>
      </c>
      <c r="Y191" t="str">
        <f>VLOOKUP(Результат[[#This Row],[Тип средств]],Таблица4[],3,0)</f>
        <v>Местный бюджет</v>
      </c>
      <c r="Z191" t="str">
        <f>IF(LEFT(Результат[[#This Row],[ЦСР]],2)="06",VLOOKUP(Результат[[#This Row],[ЦСР]],Таблица3[[ЦСР]:[Пункт подпрограммы]],4,0),"")</f>
        <v>1.1.4</v>
      </c>
      <c r="AA19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37" t="str">
        <f t="shared" si="2"/>
        <v>КФКиС</v>
      </c>
    </row>
    <row r="192" spans="1:29" x14ac:dyDescent="0.25">
      <c r="A192" t="s">
        <v>22</v>
      </c>
      <c r="B192">
        <v>1101</v>
      </c>
      <c r="C192" t="s">
        <v>40</v>
      </c>
      <c r="D192">
        <v>611</v>
      </c>
      <c r="E192">
        <v>400010</v>
      </c>
      <c r="F192">
        <v>241</v>
      </c>
      <c r="G192">
        <v>346001</v>
      </c>
      <c r="H192" t="s">
        <v>31</v>
      </c>
      <c r="J192">
        <v>120</v>
      </c>
      <c r="K192">
        <v>272042534</v>
      </c>
      <c r="L192">
        <v>0</v>
      </c>
      <c r="M192">
        <v>0</v>
      </c>
      <c r="N192">
        <v>0</v>
      </c>
      <c r="O192">
        <v>0</v>
      </c>
      <c r="P192">
        <v>0</v>
      </c>
      <c r="Q192">
        <v>40125</v>
      </c>
      <c r="R192">
        <v>40125</v>
      </c>
      <c r="S192">
        <v>40125</v>
      </c>
      <c r="T192">
        <v>40125</v>
      </c>
      <c r="U192">
        <v>160500</v>
      </c>
      <c r="V192">
        <v>-160500</v>
      </c>
      <c r="X192" t="str">
        <f>VLOOKUP(Результат[[#This Row],[Тип средств]],Таблица4[],2,0)</f>
        <v>Бюджетные средства (Бюджет муниципального образования)</v>
      </c>
      <c r="Y192" t="str">
        <f>VLOOKUP(Результат[[#This Row],[Тип средств]],Таблица4[],3,0)</f>
        <v>Местный бюджет</v>
      </c>
      <c r="Z192" t="str">
        <f>IF(LEFT(Результат[[#This Row],[ЦСР]],2)="06",VLOOKUP(Результат[[#This Row],[ЦСР]],Таблица3[[ЦСР]:[Пункт подпрограммы]],4,0),"")</f>
        <v>1.1.4</v>
      </c>
      <c r="AA19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37" t="str">
        <f t="shared" si="2"/>
        <v>КФКиС</v>
      </c>
    </row>
    <row r="193" spans="1:29" x14ac:dyDescent="0.25">
      <c r="A193" t="s">
        <v>22</v>
      </c>
      <c r="B193">
        <v>1101</v>
      </c>
      <c r="C193" t="s">
        <v>40</v>
      </c>
      <c r="D193">
        <v>611</v>
      </c>
      <c r="E193">
        <v>400010</v>
      </c>
      <c r="F193">
        <v>241</v>
      </c>
      <c r="G193">
        <v>346001</v>
      </c>
      <c r="H193" t="s">
        <v>24</v>
      </c>
      <c r="J193">
        <v>120</v>
      </c>
      <c r="K193">
        <v>272042534</v>
      </c>
      <c r="L193">
        <v>0</v>
      </c>
      <c r="M193">
        <v>0</v>
      </c>
      <c r="N193">
        <v>0</v>
      </c>
      <c r="O193">
        <v>0</v>
      </c>
      <c r="P193">
        <v>0</v>
      </c>
      <c r="Q193">
        <v>300000</v>
      </c>
      <c r="R193">
        <v>300000</v>
      </c>
      <c r="S193">
        <v>199800</v>
      </c>
      <c r="T193">
        <v>0</v>
      </c>
      <c r="U193">
        <v>799800</v>
      </c>
      <c r="V193">
        <v>-799800</v>
      </c>
      <c r="X193" t="str">
        <f>VLOOKUP(Результат[[#This Row],[Тип средств]],Таблица4[],2,0)</f>
        <v>Бюджетные средства (Бюджет муниципального образования)</v>
      </c>
      <c r="Y193" t="str">
        <f>VLOOKUP(Результат[[#This Row],[Тип средств]],Таблица4[],3,0)</f>
        <v>Местный бюджет</v>
      </c>
      <c r="Z193" t="str">
        <f>IF(LEFT(Результат[[#This Row],[ЦСР]],2)="06",VLOOKUP(Результат[[#This Row],[ЦСР]],Таблица3[[ЦСР]:[Пункт подпрограммы]],4,0),"")</f>
        <v>1.1.4</v>
      </c>
      <c r="AA19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37" t="str">
        <f t="shared" si="2"/>
        <v>КФКиС</v>
      </c>
    </row>
    <row r="194" spans="1:29" x14ac:dyDescent="0.25">
      <c r="A194" t="s">
        <v>22</v>
      </c>
      <c r="B194">
        <v>1101</v>
      </c>
      <c r="C194" t="s">
        <v>40</v>
      </c>
      <c r="D194">
        <v>611</v>
      </c>
      <c r="E194">
        <v>400010</v>
      </c>
      <c r="F194">
        <v>241</v>
      </c>
      <c r="G194">
        <v>346001</v>
      </c>
      <c r="H194" t="s">
        <v>32</v>
      </c>
      <c r="J194">
        <v>120</v>
      </c>
      <c r="K194">
        <v>272042534</v>
      </c>
      <c r="L194">
        <v>0</v>
      </c>
      <c r="M194">
        <v>0</v>
      </c>
      <c r="N194">
        <v>0</v>
      </c>
      <c r="O194">
        <v>0</v>
      </c>
      <c r="P194">
        <v>0</v>
      </c>
      <c r="Q194">
        <v>450000</v>
      </c>
      <c r="R194">
        <v>900000</v>
      </c>
      <c r="S194">
        <v>750000</v>
      </c>
      <c r="T194">
        <v>682600</v>
      </c>
      <c r="U194">
        <v>2782600</v>
      </c>
      <c r="V194">
        <v>-2782600</v>
      </c>
      <c r="X194" t="str">
        <f>VLOOKUP(Результат[[#This Row],[Тип средств]],Таблица4[],2,0)</f>
        <v>Бюджетные средства (Бюджет муниципального образования)</v>
      </c>
      <c r="Y194" t="str">
        <f>VLOOKUP(Результат[[#This Row],[Тип средств]],Таблица4[],3,0)</f>
        <v>Местный бюджет</v>
      </c>
      <c r="Z194" t="str">
        <f>IF(LEFT(Результат[[#This Row],[ЦСР]],2)="06",VLOOKUP(Результат[[#This Row],[ЦСР]],Таблица3[[ЦСР]:[Пункт подпрограммы]],4,0),"")</f>
        <v>1.1.4</v>
      </c>
      <c r="AA19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37" t="str">
        <f t="shared" si="2"/>
        <v>КФКиС</v>
      </c>
    </row>
    <row r="195" spans="1:29" x14ac:dyDescent="0.25">
      <c r="A195" t="s">
        <v>22</v>
      </c>
      <c r="B195">
        <v>1101</v>
      </c>
      <c r="C195" t="s">
        <v>40</v>
      </c>
      <c r="D195">
        <v>611</v>
      </c>
      <c r="E195">
        <v>400010</v>
      </c>
      <c r="F195">
        <v>241</v>
      </c>
      <c r="G195">
        <v>349001</v>
      </c>
      <c r="H195" t="s">
        <v>29</v>
      </c>
      <c r="J195">
        <v>110</v>
      </c>
      <c r="K195">
        <v>272042534</v>
      </c>
      <c r="L195">
        <v>0</v>
      </c>
      <c r="M195">
        <v>0</v>
      </c>
      <c r="N195">
        <v>0</v>
      </c>
      <c r="O195">
        <v>0</v>
      </c>
      <c r="P195">
        <v>0</v>
      </c>
      <c r="Q195">
        <v>60000</v>
      </c>
      <c r="R195">
        <v>60000</v>
      </c>
      <c r="S195">
        <v>60000</v>
      </c>
      <c r="T195">
        <v>63000</v>
      </c>
      <c r="U195">
        <v>243000</v>
      </c>
      <c r="V195">
        <v>-243000</v>
      </c>
      <c r="X195" t="str">
        <f>VLOOKUP(Результат[[#This Row],[Тип средств]],Таблица4[],2,0)</f>
        <v>Бюджетные средства (Бюджет муниципального образования)</v>
      </c>
      <c r="Y195" t="str">
        <f>VLOOKUP(Результат[[#This Row],[Тип средств]],Таблица4[],3,0)</f>
        <v>Местный бюджет</v>
      </c>
      <c r="Z195" t="str">
        <f>IF(LEFT(Результат[[#This Row],[ЦСР]],2)="06",VLOOKUP(Результат[[#This Row],[ЦСР]],Таблица3[[ЦСР]:[Пункт подпрограммы]],4,0),"")</f>
        <v>1.1.4</v>
      </c>
      <c r="AA19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37" t="str">
        <f t="shared" si="2"/>
        <v>КФКиС</v>
      </c>
    </row>
    <row r="196" spans="1:29" x14ac:dyDescent="0.25">
      <c r="A196" t="s">
        <v>22</v>
      </c>
      <c r="B196">
        <v>1101</v>
      </c>
      <c r="C196" t="s">
        <v>40</v>
      </c>
      <c r="D196">
        <v>611</v>
      </c>
      <c r="E196">
        <v>400010</v>
      </c>
      <c r="F196">
        <v>241</v>
      </c>
      <c r="G196">
        <v>349001</v>
      </c>
      <c r="H196" t="s">
        <v>31</v>
      </c>
      <c r="J196">
        <v>110</v>
      </c>
      <c r="K196">
        <v>272042534</v>
      </c>
      <c r="L196">
        <v>0</v>
      </c>
      <c r="M196">
        <v>0</v>
      </c>
      <c r="N196">
        <v>0</v>
      </c>
      <c r="O196">
        <v>0</v>
      </c>
      <c r="P196">
        <v>0</v>
      </c>
      <c r="Q196">
        <v>24900</v>
      </c>
      <c r="R196">
        <v>23000</v>
      </c>
      <c r="S196">
        <v>10000</v>
      </c>
      <c r="T196">
        <v>14800</v>
      </c>
      <c r="U196">
        <v>72700</v>
      </c>
      <c r="V196">
        <v>-72700</v>
      </c>
      <c r="X196" t="str">
        <f>VLOOKUP(Результат[[#This Row],[Тип средств]],Таблица4[],2,0)</f>
        <v>Бюджетные средства (Бюджет муниципального образования)</v>
      </c>
      <c r="Y196" t="str">
        <f>VLOOKUP(Результат[[#This Row],[Тип средств]],Таблица4[],3,0)</f>
        <v>Местный бюджет</v>
      </c>
      <c r="Z196" t="str">
        <f>IF(LEFT(Результат[[#This Row],[ЦСР]],2)="06",VLOOKUP(Результат[[#This Row],[ЦСР]],Таблица3[[ЦСР]:[Пункт подпрограммы]],4,0),"")</f>
        <v>1.1.4</v>
      </c>
      <c r="AA19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37" t="str">
        <f t="shared" si="2"/>
        <v>КФКиС</v>
      </c>
    </row>
    <row r="197" spans="1:29" x14ac:dyDescent="0.25">
      <c r="A197" t="s">
        <v>22</v>
      </c>
      <c r="B197">
        <v>1101</v>
      </c>
      <c r="C197" t="s">
        <v>40</v>
      </c>
      <c r="D197">
        <v>611</v>
      </c>
      <c r="E197">
        <v>400010</v>
      </c>
      <c r="F197">
        <v>241</v>
      </c>
      <c r="G197">
        <v>349001</v>
      </c>
      <c r="H197" t="s">
        <v>24</v>
      </c>
      <c r="J197">
        <v>110</v>
      </c>
      <c r="K197">
        <v>272042534</v>
      </c>
      <c r="L197">
        <v>0</v>
      </c>
      <c r="M197">
        <v>0</v>
      </c>
      <c r="N197">
        <v>0</v>
      </c>
      <c r="O197">
        <v>0</v>
      </c>
      <c r="P197">
        <v>0</v>
      </c>
      <c r="Q197">
        <v>50000</v>
      </c>
      <c r="R197">
        <v>20000</v>
      </c>
      <c r="S197">
        <v>31000</v>
      </c>
      <c r="T197">
        <v>0</v>
      </c>
      <c r="U197">
        <v>101000</v>
      </c>
      <c r="V197">
        <v>-101000</v>
      </c>
      <c r="X197" t="str">
        <f>VLOOKUP(Результат[[#This Row],[Тип средств]],Таблица4[],2,0)</f>
        <v>Бюджетные средства (Бюджет муниципального образования)</v>
      </c>
      <c r="Y197" t="str">
        <f>VLOOKUP(Результат[[#This Row],[Тип средств]],Таблица4[],3,0)</f>
        <v>Местный бюджет</v>
      </c>
      <c r="Z197" t="str">
        <f>IF(LEFT(Результат[[#This Row],[ЦСР]],2)="06",VLOOKUP(Результат[[#This Row],[ЦСР]],Таблица3[[ЦСР]:[Пункт подпрограммы]],4,0),"")</f>
        <v>1.1.4</v>
      </c>
      <c r="AA19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37" t="str">
        <f t="shared" si="2"/>
        <v>КФКиС</v>
      </c>
    </row>
    <row r="198" spans="1:29" x14ac:dyDescent="0.25">
      <c r="A198" t="s">
        <v>22</v>
      </c>
      <c r="B198">
        <v>1101</v>
      </c>
      <c r="C198" t="s">
        <v>40</v>
      </c>
      <c r="D198">
        <v>611</v>
      </c>
      <c r="E198">
        <v>400010</v>
      </c>
      <c r="F198">
        <v>241</v>
      </c>
      <c r="G198">
        <v>349001</v>
      </c>
      <c r="H198" t="s">
        <v>32</v>
      </c>
      <c r="J198">
        <v>120</v>
      </c>
      <c r="K198">
        <v>272042534</v>
      </c>
      <c r="L198">
        <v>0</v>
      </c>
      <c r="M198">
        <v>0</v>
      </c>
      <c r="N198">
        <v>0</v>
      </c>
      <c r="O198">
        <v>0</v>
      </c>
      <c r="P198">
        <v>0</v>
      </c>
      <c r="Q198">
        <v>5000</v>
      </c>
      <c r="R198">
        <v>5000</v>
      </c>
      <c r="S198">
        <v>5000</v>
      </c>
      <c r="T198">
        <v>5000</v>
      </c>
      <c r="U198">
        <v>20000</v>
      </c>
      <c r="V198">
        <v>-20000</v>
      </c>
      <c r="X198" t="str">
        <f>VLOOKUP(Результат[[#This Row],[Тип средств]],Таблица4[],2,0)</f>
        <v>Бюджетные средства (Бюджет муниципального образования)</v>
      </c>
      <c r="Y198" t="str">
        <f>VLOOKUP(Результат[[#This Row],[Тип средств]],Таблица4[],3,0)</f>
        <v>Местный бюджет</v>
      </c>
      <c r="Z198" t="str">
        <f>IF(LEFT(Результат[[#This Row],[ЦСР]],2)="06",VLOOKUP(Результат[[#This Row],[ЦСР]],Таблица3[[ЦСР]:[Пункт подпрограммы]],4,0),"")</f>
        <v>1.1.4</v>
      </c>
      <c r="AA19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37" t="str">
        <f t="shared" ref="AC198:AC261" si="3">"КФКиС"</f>
        <v>КФКиС</v>
      </c>
    </row>
    <row r="199" spans="1:29" x14ac:dyDescent="0.25">
      <c r="A199" t="s">
        <v>22</v>
      </c>
      <c r="B199">
        <v>1101</v>
      </c>
      <c r="C199" t="s">
        <v>40</v>
      </c>
      <c r="D199">
        <v>611</v>
      </c>
      <c r="E199">
        <v>400010</v>
      </c>
      <c r="F199">
        <v>241</v>
      </c>
      <c r="G199">
        <v>349002</v>
      </c>
      <c r="H199" t="s">
        <v>29</v>
      </c>
      <c r="J199">
        <v>120</v>
      </c>
      <c r="K199">
        <v>272042535</v>
      </c>
      <c r="L199">
        <v>0</v>
      </c>
      <c r="M199">
        <v>0</v>
      </c>
      <c r="N199">
        <v>0</v>
      </c>
      <c r="O199">
        <v>0</v>
      </c>
      <c r="P199">
        <v>0</v>
      </c>
      <c r="Q199">
        <v>25100</v>
      </c>
      <c r="R199">
        <v>93800</v>
      </c>
      <c r="S199">
        <v>14600</v>
      </c>
      <c r="T199">
        <v>89005</v>
      </c>
      <c r="U199">
        <v>222505</v>
      </c>
      <c r="V199">
        <v>-222505</v>
      </c>
      <c r="X199" t="str">
        <f>VLOOKUP(Результат[[#This Row],[Тип средств]],Таблица4[],2,0)</f>
        <v>Бюджетные средства (Бюджет муниципального образования)</v>
      </c>
      <c r="Y199" t="str">
        <f>VLOOKUP(Результат[[#This Row],[Тип средств]],Таблица4[],3,0)</f>
        <v>Местный бюджет</v>
      </c>
      <c r="Z199" t="str">
        <f>IF(LEFT(Результат[[#This Row],[ЦСР]],2)="06",VLOOKUP(Результат[[#This Row],[ЦСР]],Таблица3[[ЦСР]:[Пункт подпрограммы]],4,0),"")</f>
        <v>1.1.4</v>
      </c>
      <c r="AA19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37" t="str">
        <f t="shared" si="3"/>
        <v>КФКиС</v>
      </c>
    </row>
    <row r="200" spans="1:29" x14ac:dyDescent="0.25">
      <c r="A200" t="s">
        <v>22</v>
      </c>
      <c r="B200">
        <v>1101</v>
      </c>
      <c r="C200" t="s">
        <v>40</v>
      </c>
      <c r="D200">
        <v>611</v>
      </c>
      <c r="E200">
        <v>400010</v>
      </c>
      <c r="F200">
        <v>241</v>
      </c>
      <c r="G200">
        <v>349002</v>
      </c>
      <c r="H200" t="s">
        <v>31</v>
      </c>
      <c r="J200">
        <v>120</v>
      </c>
      <c r="K200">
        <v>272042535</v>
      </c>
      <c r="L200">
        <v>0</v>
      </c>
      <c r="M200">
        <v>0</v>
      </c>
      <c r="N200">
        <v>0</v>
      </c>
      <c r="O200">
        <v>0</v>
      </c>
      <c r="P200">
        <v>0</v>
      </c>
      <c r="Q200">
        <v>14550</v>
      </c>
      <c r="R200">
        <v>28740</v>
      </c>
      <c r="S200">
        <v>3900</v>
      </c>
      <c r="T200">
        <v>43965</v>
      </c>
      <c r="U200">
        <v>91155</v>
      </c>
      <c r="V200">
        <v>-91155</v>
      </c>
      <c r="X200" t="str">
        <f>VLOOKUP(Результат[[#This Row],[Тип средств]],Таблица4[],2,0)</f>
        <v>Бюджетные средства (Бюджет муниципального образования)</v>
      </c>
      <c r="Y200" t="str">
        <f>VLOOKUP(Результат[[#This Row],[Тип средств]],Таблица4[],3,0)</f>
        <v>Местный бюджет</v>
      </c>
      <c r="Z200" t="str">
        <f>IF(LEFT(Результат[[#This Row],[ЦСР]],2)="06",VLOOKUP(Результат[[#This Row],[ЦСР]],Таблица3[[ЦСР]:[Пункт подпрограммы]],4,0),"")</f>
        <v>1.1.4</v>
      </c>
      <c r="AA20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37" t="str">
        <f t="shared" si="3"/>
        <v>КФКиС</v>
      </c>
    </row>
    <row r="201" spans="1:29" x14ac:dyDescent="0.25">
      <c r="A201" t="s">
        <v>22</v>
      </c>
      <c r="B201">
        <v>1101</v>
      </c>
      <c r="C201" t="s">
        <v>40</v>
      </c>
      <c r="D201">
        <v>611</v>
      </c>
      <c r="E201">
        <v>400010</v>
      </c>
      <c r="F201">
        <v>241</v>
      </c>
      <c r="G201">
        <v>349002</v>
      </c>
      <c r="H201" t="s">
        <v>24</v>
      </c>
      <c r="J201">
        <v>120</v>
      </c>
      <c r="K201">
        <v>272042535</v>
      </c>
      <c r="L201">
        <v>0</v>
      </c>
      <c r="M201">
        <v>0</v>
      </c>
      <c r="N201">
        <v>0</v>
      </c>
      <c r="O201">
        <v>0</v>
      </c>
      <c r="P201">
        <v>0</v>
      </c>
      <c r="Q201">
        <v>75600</v>
      </c>
      <c r="R201">
        <v>63000</v>
      </c>
      <c r="S201">
        <v>6000</v>
      </c>
      <c r="T201">
        <v>35150</v>
      </c>
      <c r="U201">
        <v>179750</v>
      </c>
      <c r="V201">
        <v>-179750</v>
      </c>
      <c r="X201" t="str">
        <f>VLOOKUP(Результат[[#This Row],[Тип средств]],Таблица4[],2,0)</f>
        <v>Бюджетные средства (Бюджет муниципального образования)</v>
      </c>
      <c r="Y201" t="str">
        <f>VLOOKUP(Результат[[#This Row],[Тип средств]],Таблица4[],3,0)</f>
        <v>Местный бюджет</v>
      </c>
      <c r="Z201" t="str">
        <f>IF(LEFT(Результат[[#This Row],[ЦСР]],2)="06",VLOOKUP(Результат[[#This Row],[ЦСР]],Таблица3[[ЦСР]:[Пункт подпрограммы]],4,0),"")</f>
        <v>1.1.4</v>
      </c>
      <c r="AA20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37" t="str">
        <f t="shared" si="3"/>
        <v>КФКиС</v>
      </c>
    </row>
    <row r="202" spans="1:29" x14ac:dyDescent="0.25">
      <c r="A202" t="s">
        <v>22</v>
      </c>
      <c r="B202">
        <v>1101</v>
      </c>
      <c r="C202" t="s">
        <v>40</v>
      </c>
      <c r="D202">
        <v>611</v>
      </c>
      <c r="E202">
        <v>400010</v>
      </c>
      <c r="F202">
        <v>241</v>
      </c>
      <c r="G202">
        <v>349002</v>
      </c>
      <c r="H202" t="s">
        <v>32</v>
      </c>
      <c r="J202">
        <v>120</v>
      </c>
      <c r="K202">
        <v>272042535</v>
      </c>
      <c r="L202">
        <v>0</v>
      </c>
      <c r="M202">
        <v>0</v>
      </c>
      <c r="N202">
        <v>0</v>
      </c>
      <c r="O202">
        <v>0</v>
      </c>
      <c r="P202">
        <v>0</v>
      </c>
      <c r="Q202">
        <v>64330</v>
      </c>
      <c r="R202">
        <v>81530</v>
      </c>
      <c r="S202">
        <v>34715</v>
      </c>
      <c r="T202">
        <v>187002</v>
      </c>
      <c r="U202">
        <v>367577</v>
      </c>
      <c r="V202">
        <v>-367577</v>
      </c>
      <c r="X202" t="str">
        <f>VLOOKUP(Результат[[#This Row],[Тип средств]],Таблица4[],2,0)</f>
        <v>Бюджетные средства (Бюджет муниципального образования)</v>
      </c>
      <c r="Y202" t="str">
        <f>VLOOKUP(Результат[[#This Row],[Тип средств]],Таблица4[],3,0)</f>
        <v>Местный бюджет</v>
      </c>
      <c r="Z202" t="str">
        <f>IF(LEFT(Результат[[#This Row],[ЦСР]],2)="06",VLOOKUP(Результат[[#This Row],[ЦСР]],Таблица3[[ЦСР]:[Пункт подпрограммы]],4,0),"")</f>
        <v>1.1.4</v>
      </c>
      <c r="AA20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37" t="str">
        <f t="shared" si="3"/>
        <v>КФКиС</v>
      </c>
    </row>
    <row r="203" spans="1:29" x14ac:dyDescent="0.25">
      <c r="A203" t="s">
        <v>22</v>
      </c>
      <c r="B203">
        <v>1101</v>
      </c>
      <c r="C203" t="s">
        <v>40</v>
      </c>
      <c r="D203">
        <v>611</v>
      </c>
      <c r="E203">
        <v>400010</v>
      </c>
      <c r="F203">
        <v>241</v>
      </c>
      <c r="G203">
        <v>349006</v>
      </c>
      <c r="H203" t="s">
        <v>32</v>
      </c>
      <c r="J203">
        <v>120</v>
      </c>
      <c r="K203">
        <v>272042534</v>
      </c>
      <c r="L203">
        <v>0</v>
      </c>
      <c r="M203">
        <v>0</v>
      </c>
      <c r="N203">
        <v>0</v>
      </c>
      <c r="O203">
        <v>0</v>
      </c>
      <c r="P203">
        <v>0</v>
      </c>
      <c r="Q203">
        <v>20000</v>
      </c>
      <c r="R203">
        <v>70000</v>
      </c>
      <c r="S203">
        <v>0</v>
      </c>
      <c r="T203">
        <v>73900</v>
      </c>
      <c r="U203">
        <v>163900</v>
      </c>
      <c r="V203">
        <v>-163900</v>
      </c>
      <c r="X203" t="str">
        <f>VLOOKUP(Результат[[#This Row],[Тип средств]],Таблица4[],2,0)</f>
        <v>Бюджетные средства (Бюджет муниципального образования)</v>
      </c>
      <c r="Y203" t="str">
        <f>VLOOKUP(Результат[[#This Row],[Тип средств]],Таблица4[],3,0)</f>
        <v>Местный бюджет</v>
      </c>
      <c r="Z203" t="str">
        <f>IF(LEFT(Результат[[#This Row],[ЦСР]],2)="06",VLOOKUP(Результат[[#This Row],[ЦСР]],Таблица3[[ЦСР]:[Пункт подпрограммы]],4,0),"")</f>
        <v>1.1.4</v>
      </c>
      <c r="AA20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37" t="str">
        <f t="shared" si="3"/>
        <v>КФКиС</v>
      </c>
    </row>
    <row r="204" spans="1:29" x14ac:dyDescent="0.25">
      <c r="A204" t="s">
        <v>22</v>
      </c>
      <c r="B204">
        <v>1101</v>
      </c>
      <c r="C204" t="s">
        <v>40</v>
      </c>
      <c r="D204">
        <v>621</v>
      </c>
      <c r="E204">
        <v>400010</v>
      </c>
      <c r="F204">
        <v>241</v>
      </c>
      <c r="G204">
        <v>211001</v>
      </c>
      <c r="H204" t="s">
        <v>33</v>
      </c>
      <c r="J204">
        <v>910</v>
      </c>
      <c r="K204">
        <v>272042534</v>
      </c>
      <c r="L204">
        <v>0</v>
      </c>
      <c r="M204">
        <v>0</v>
      </c>
      <c r="N204">
        <v>0</v>
      </c>
      <c r="O204">
        <v>1754238.7</v>
      </c>
      <c r="P204">
        <v>-1754238.7</v>
      </c>
      <c r="Q204">
        <v>12650000</v>
      </c>
      <c r="R204">
        <v>20853200</v>
      </c>
      <c r="S204">
        <v>10970000</v>
      </c>
      <c r="T204">
        <v>18326500</v>
      </c>
      <c r="U204">
        <v>62799700</v>
      </c>
      <c r="V204">
        <v>-62799700</v>
      </c>
      <c r="X204" t="str">
        <f>VLOOKUP(Результат[[#This Row],[Тип средств]],Таблица4[],2,0)</f>
        <v>Бюджетные средства (Бюджет муниципального образования)</v>
      </c>
      <c r="Y204" t="str">
        <f>VLOOKUP(Результат[[#This Row],[Тип средств]],Таблица4[],3,0)</f>
        <v>Местный бюджет</v>
      </c>
      <c r="Z204" t="str">
        <f>IF(LEFT(Результат[[#This Row],[ЦСР]],2)="06",VLOOKUP(Результат[[#This Row],[ЦСР]],Таблица3[[ЦСР]:[Пункт подпрограммы]],4,0),"")</f>
        <v>1.1.4</v>
      </c>
      <c r="AA20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37" t="str">
        <f t="shared" si="3"/>
        <v>КФКиС</v>
      </c>
    </row>
    <row r="205" spans="1:29" x14ac:dyDescent="0.25">
      <c r="A205" t="s">
        <v>22</v>
      </c>
      <c r="B205">
        <v>1101</v>
      </c>
      <c r="C205" t="s">
        <v>40</v>
      </c>
      <c r="D205">
        <v>621</v>
      </c>
      <c r="E205">
        <v>400010</v>
      </c>
      <c r="F205">
        <v>241</v>
      </c>
      <c r="G205">
        <v>211002</v>
      </c>
      <c r="H205" t="s">
        <v>33</v>
      </c>
      <c r="J205">
        <v>910</v>
      </c>
      <c r="K205">
        <v>272042534</v>
      </c>
      <c r="L205">
        <v>0</v>
      </c>
      <c r="M205">
        <v>0</v>
      </c>
      <c r="N205">
        <v>0</v>
      </c>
      <c r="O205">
        <v>8700</v>
      </c>
      <c r="P205">
        <v>-8700</v>
      </c>
      <c r="Q205">
        <v>15000</v>
      </c>
      <c r="R205">
        <v>15000</v>
      </c>
      <c r="S205">
        <v>15000</v>
      </c>
      <c r="T205">
        <v>464100</v>
      </c>
      <c r="U205">
        <v>509100</v>
      </c>
      <c r="V205">
        <v>-509100</v>
      </c>
      <c r="X205" t="str">
        <f>VLOOKUP(Результат[[#This Row],[Тип средств]],Таблица4[],2,0)</f>
        <v>Бюджетные средства (Бюджет муниципального образования)</v>
      </c>
      <c r="Y205" t="str">
        <f>VLOOKUP(Результат[[#This Row],[Тип средств]],Таблица4[],3,0)</f>
        <v>Местный бюджет</v>
      </c>
      <c r="Z205" t="str">
        <f>IF(LEFT(Результат[[#This Row],[ЦСР]],2)="06",VLOOKUP(Результат[[#This Row],[ЦСР]],Таблица3[[ЦСР]:[Пункт подпрограммы]],4,0),"")</f>
        <v>1.1.4</v>
      </c>
      <c r="AA20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37" t="str">
        <f t="shared" si="3"/>
        <v>КФКиС</v>
      </c>
    </row>
    <row r="206" spans="1:29" x14ac:dyDescent="0.25">
      <c r="A206" t="s">
        <v>22</v>
      </c>
      <c r="B206">
        <v>1101</v>
      </c>
      <c r="C206" t="s">
        <v>40</v>
      </c>
      <c r="D206">
        <v>621</v>
      </c>
      <c r="E206">
        <v>400010</v>
      </c>
      <c r="F206">
        <v>241</v>
      </c>
      <c r="G206">
        <v>212002</v>
      </c>
      <c r="H206" t="s">
        <v>33</v>
      </c>
      <c r="J206">
        <v>910</v>
      </c>
      <c r="K206">
        <v>272042535</v>
      </c>
      <c r="L206">
        <v>0</v>
      </c>
      <c r="M206">
        <v>0</v>
      </c>
      <c r="N206">
        <v>0</v>
      </c>
      <c r="O206">
        <v>0</v>
      </c>
      <c r="P206">
        <v>0</v>
      </c>
      <c r="Q206">
        <v>69800</v>
      </c>
      <c r="R206">
        <v>33800</v>
      </c>
      <c r="S206">
        <v>10800</v>
      </c>
      <c r="T206">
        <v>31800</v>
      </c>
      <c r="U206">
        <v>146200</v>
      </c>
      <c r="V206">
        <v>-146200</v>
      </c>
      <c r="X206" t="str">
        <f>VLOOKUP(Результат[[#This Row],[Тип средств]],Таблица4[],2,0)</f>
        <v>Бюджетные средства (Бюджет муниципального образования)</v>
      </c>
      <c r="Y206" t="str">
        <f>VLOOKUP(Результат[[#This Row],[Тип средств]],Таблица4[],3,0)</f>
        <v>Местный бюджет</v>
      </c>
      <c r="Z206" t="str">
        <f>IF(LEFT(Результат[[#This Row],[ЦСР]],2)="06",VLOOKUP(Результат[[#This Row],[ЦСР]],Таблица3[[ЦСР]:[Пункт подпрограммы]],4,0),"")</f>
        <v>1.1.4</v>
      </c>
      <c r="AA20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37" t="str">
        <f t="shared" si="3"/>
        <v>КФКиС</v>
      </c>
    </row>
    <row r="207" spans="1:29" x14ac:dyDescent="0.25">
      <c r="A207" t="s">
        <v>22</v>
      </c>
      <c r="B207">
        <v>1101</v>
      </c>
      <c r="C207" t="s">
        <v>40</v>
      </c>
      <c r="D207">
        <v>621</v>
      </c>
      <c r="E207">
        <v>400010</v>
      </c>
      <c r="F207">
        <v>241</v>
      </c>
      <c r="G207">
        <v>213001</v>
      </c>
      <c r="H207" t="s">
        <v>33</v>
      </c>
      <c r="J207">
        <v>910</v>
      </c>
      <c r="K207">
        <v>272042534</v>
      </c>
      <c r="L207">
        <v>0</v>
      </c>
      <c r="M207">
        <v>0</v>
      </c>
      <c r="N207">
        <v>0</v>
      </c>
      <c r="O207">
        <v>0</v>
      </c>
      <c r="P207">
        <v>0</v>
      </c>
      <c r="Q207">
        <v>3820300</v>
      </c>
      <c r="R207">
        <v>6297700</v>
      </c>
      <c r="S207">
        <v>3312940</v>
      </c>
      <c r="T207">
        <v>5534560</v>
      </c>
      <c r="U207">
        <v>18965500</v>
      </c>
      <c r="V207">
        <v>-18965500</v>
      </c>
      <c r="X207" t="str">
        <f>VLOOKUP(Результат[[#This Row],[Тип средств]],Таблица4[],2,0)</f>
        <v>Бюджетные средства (Бюджет муниципального образования)</v>
      </c>
      <c r="Y207" t="str">
        <f>VLOOKUP(Результат[[#This Row],[Тип средств]],Таблица4[],3,0)</f>
        <v>Местный бюджет</v>
      </c>
      <c r="Z207" t="str">
        <f>IF(LEFT(Результат[[#This Row],[ЦСР]],2)="06",VLOOKUP(Результат[[#This Row],[ЦСР]],Таблица3[[ЦСР]:[Пункт подпрограммы]],4,0),"")</f>
        <v>1.1.4</v>
      </c>
      <c r="AA20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37" t="str">
        <f t="shared" si="3"/>
        <v>КФКиС</v>
      </c>
    </row>
    <row r="208" spans="1:29" x14ac:dyDescent="0.25">
      <c r="A208" t="s">
        <v>22</v>
      </c>
      <c r="B208">
        <v>1101</v>
      </c>
      <c r="C208" t="s">
        <v>40</v>
      </c>
      <c r="D208">
        <v>621</v>
      </c>
      <c r="E208">
        <v>400010</v>
      </c>
      <c r="F208">
        <v>241</v>
      </c>
      <c r="G208">
        <v>213002</v>
      </c>
      <c r="H208" t="s">
        <v>33</v>
      </c>
      <c r="J208">
        <v>910</v>
      </c>
      <c r="K208">
        <v>272042621</v>
      </c>
      <c r="L208">
        <v>0</v>
      </c>
      <c r="M208">
        <v>0</v>
      </c>
      <c r="N208">
        <v>0</v>
      </c>
      <c r="O208">
        <v>0</v>
      </c>
      <c r="P208">
        <v>0</v>
      </c>
      <c r="Q208">
        <v>4600</v>
      </c>
      <c r="R208">
        <v>4600</v>
      </c>
      <c r="S208">
        <v>4600</v>
      </c>
      <c r="T208">
        <v>139900</v>
      </c>
      <c r="U208">
        <v>153700</v>
      </c>
      <c r="V208">
        <v>-153700</v>
      </c>
      <c r="X208" t="str">
        <f>VLOOKUP(Результат[[#This Row],[Тип средств]],Таблица4[],2,0)</f>
        <v>Бюджетные средства (Бюджет муниципального образования)</v>
      </c>
      <c r="Y208" t="str">
        <f>VLOOKUP(Результат[[#This Row],[Тип средств]],Таблица4[],3,0)</f>
        <v>Местный бюджет</v>
      </c>
      <c r="Z208" t="str">
        <f>IF(LEFT(Результат[[#This Row],[ЦСР]],2)="06",VLOOKUP(Результат[[#This Row],[ЦСР]],Таблица3[[ЦСР]:[Пункт подпрограммы]],4,0),"")</f>
        <v>1.1.4</v>
      </c>
      <c r="AA20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37" t="str">
        <f t="shared" si="3"/>
        <v>КФКиС</v>
      </c>
    </row>
    <row r="209" spans="1:29" x14ac:dyDescent="0.25">
      <c r="A209" t="s">
        <v>22</v>
      </c>
      <c r="B209">
        <v>1101</v>
      </c>
      <c r="C209" t="s">
        <v>40</v>
      </c>
      <c r="D209">
        <v>621</v>
      </c>
      <c r="E209">
        <v>400010</v>
      </c>
      <c r="F209">
        <v>241</v>
      </c>
      <c r="G209">
        <v>214001</v>
      </c>
      <c r="H209" t="s">
        <v>33</v>
      </c>
      <c r="J209">
        <v>910</v>
      </c>
      <c r="K209">
        <v>272042621</v>
      </c>
      <c r="L209">
        <v>0</v>
      </c>
      <c r="M209">
        <v>0</v>
      </c>
      <c r="N209">
        <v>0</v>
      </c>
      <c r="O209">
        <v>0</v>
      </c>
      <c r="P209">
        <v>0</v>
      </c>
      <c r="Q209">
        <v>100000</v>
      </c>
      <c r="R209">
        <v>1000000</v>
      </c>
      <c r="S209">
        <v>550600</v>
      </c>
      <c r="T209">
        <v>100000</v>
      </c>
      <c r="U209">
        <v>1750600</v>
      </c>
      <c r="V209">
        <v>-1750600</v>
      </c>
      <c r="X209" t="str">
        <f>VLOOKUP(Результат[[#This Row],[Тип средств]],Таблица4[],2,0)</f>
        <v>Бюджетные средства (Бюджет муниципального образования)</v>
      </c>
      <c r="Y209" t="str">
        <f>VLOOKUP(Результат[[#This Row],[Тип средств]],Таблица4[],3,0)</f>
        <v>Местный бюджет</v>
      </c>
      <c r="Z209" t="str">
        <f>IF(LEFT(Результат[[#This Row],[ЦСР]],2)="06",VLOOKUP(Результат[[#This Row],[ЦСР]],Таблица3[[ЦСР]:[Пункт подпрограммы]],4,0),"")</f>
        <v>1.1.4</v>
      </c>
      <c r="AA20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37" t="str">
        <f t="shared" si="3"/>
        <v>КФКиС</v>
      </c>
    </row>
    <row r="210" spans="1:29" x14ac:dyDescent="0.25">
      <c r="A210" t="s">
        <v>22</v>
      </c>
      <c r="B210">
        <v>1101</v>
      </c>
      <c r="C210" t="s">
        <v>40</v>
      </c>
      <c r="D210">
        <v>621</v>
      </c>
      <c r="E210">
        <v>400010</v>
      </c>
      <c r="F210">
        <v>241</v>
      </c>
      <c r="G210">
        <v>221001</v>
      </c>
      <c r="H210" t="s">
        <v>33</v>
      </c>
      <c r="J210">
        <v>210</v>
      </c>
      <c r="K210">
        <v>272042534</v>
      </c>
      <c r="L210">
        <v>0</v>
      </c>
      <c r="M210">
        <v>0</v>
      </c>
      <c r="N210">
        <v>0</v>
      </c>
      <c r="O210">
        <v>0</v>
      </c>
      <c r="P210">
        <v>0</v>
      </c>
      <c r="Q210">
        <v>42000</v>
      </c>
      <c r="R210">
        <v>29000</v>
      </c>
      <c r="S210">
        <v>29000</v>
      </c>
      <c r="T210">
        <v>31200</v>
      </c>
      <c r="U210">
        <v>131200</v>
      </c>
      <c r="V210">
        <v>-131200</v>
      </c>
      <c r="X210" t="str">
        <f>VLOOKUP(Результат[[#This Row],[Тип средств]],Таблица4[],2,0)</f>
        <v>Бюджетные средства (Бюджет муниципального образования)</v>
      </c>
      <c r="Y210" t="str">
        <f>VLOOKUP(Результат[[#This Row],[Тип средств]],Таблица4[],3,0)</f>
        <v>Местный бюджет</v>
      </c>
      <c r="Z210" t="str">
        <f>IF(LEFT(Результат[[#This Row],[ЦСР]],2)="06",VLOOKUP(Результат[[#This Row],[ЦСР]],Таблица3[[ЦСР]:[Пункт подпрограммы]],4,0),"")</f>
        <v>1.1.4</v>
      </c>
      <c r="AA21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37" t="str">
        <f t="shared" si="3"/>
        <v>КФКиС</v>
      </c>
    </row>
    <row r="211" spans="1:29" x14ac:dyDescent="0.25">
      <c r="A211" t="s">
        <v>22</v>
      </c>
      <c r="B211">
        <v>1101</v>
      </c>
      <c r="C211" t="s">
        <v>40</v>
      </c>
      <c r="D211">
        <v>621</v>
      </c>
      <c r="E211">
        <v>400010</v>
      </c>
      <c r="F211">
        <v>241</v>
      </c>
      <c r="G211">
        <v>222002</v>
      </c>
      <c r="H211" t="s">
        <v>33</v>
      </c>
      <c r="J211">
        <v>210</v>
      </c>
      <c r="K211">
        <v>272042535</v>
      </c>
      <c r="L211">
        <v>0</v>
      </c>
      <c r="M211">
        <v>0</v>
      </c>
      <c r="N211">
        <v>0</v>
      </c>
      <c r="O211">
        <v>0</v>
      </c>
      <c r="P211">
        <v>0</v>
      </c>
      <c r="Q211">
        <v>0</v>
      </c>
      <c r="R211">
        <v>0</v>
      </c>
      <c r="S211">
        <v>55000</v>
      </c>
      <c r="T211">
        <v>0</v>
      </c>
      <c r="U211">
        <v>55000</v>
      </c>
      <c r="V211">
        <v>-55000</v>
      </c>
      <c r="X211" t="str">
        <f>VLOOKUP(Результат[[#This Row],[Тип средств]],Таблица4[],2,0)</f>
        <v>Бюджетные средства (Бюджет муниципального образования)</v>
      </c>
      <c r="Y211" t="str">
        <f>VLOOKUP(Результат[[#This Row],[Тип средств]],Таблица4[],3,0)</f>
        <v>Местный бюджет</v>
      </c>
      <c r="Z211" t="str">
        <f>IF(LEFT(Результат[[#This Row],[ЦСР]],2)="06",VLOOKUP(Результат[[#This Row],[ЦСР]],Таблица3[[ЦСР]:[Пункт подпрограммы]],4,0),"")</f>
        <v>1.1.4</v>
      </c>
      <c r="AA21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37" t="str">
        <f t="shared" si="3"/>
        <v>КФКиС</v>
      </c>
    </row>
    <row r="212" spans="1:29" x14ac:dyDescent="0.25">
      <c r="A212" t="s">
        <v>22</v>
      </c>
      <c r="B212">
        <v>1101</v>
      </c>
      <c r="C212" t="s">
        <v>40</v>
      </c>
      <c r="D212">
        <v>621</v>
      </c>
      <c r="E212">
        <v>400010</v>
      </c>
      <c r="F212">
        <v>241</v>
      </c>
      <c r="G212">
        <v>223001</v>
      </c>
      <c r="H212" t="s">
        <v>33</v>
      </c>
      <c r="J212">
        <v>210</v>
      </c>
      <c r="K212">
        <v>272042534</v>
      </c>
      <c r="L212">
        <v>0</v>
      </c>
      <c r="M212">
        <v>0</v>
      </c>
      <c r="N212">
        <v>0</v>
      </c>
      <c r="O212">
        <v>0</v>
      </c>
      <c r="P212">
        <v>0</v>
      </c>
      <c r="Q212">
        <v>1200000</v>
      </c>
      <c r="R212">
        <v>1000000</v>
      </c>
      <c r="S212">
        <v>2200000</v>
      </c>
      <c r="T212">
        <v>4751100</v>
      </c>
      <c r="U212">
        <v>9151100</v>
      </c>
      <c r="V212">
        <v>-9151100</v>
      </c>
      <c r="X212" t="str">
        <f>VLOOKUP(Результат[[#This Row],[Тип средств]],Таблица4[],2,0)</f>
        <v>Бюджетные средства (Бюджет муниципального образования)</v>
      </c>
      <c r="Y212" t="str">
        <f>VLOOKUP(Результат[[#This Row],[Тип средств]],Таблица4[],3,0)</f>
        <v>Местный бюджет</v>
      </c>
      <c r="Z212" t="str">
        <f>IF(LEFT(Результат[[#This Row],[ЦСР]],2)="06",VLOOKUP(Результат[[#This Row],[ЦСР]],Таблица3[[ЦСР]:[Пункт подпрограммы]],4,0),"")</f>
        <v>1.1.4</v>
      </c>
      <c r="AA21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37" t="str">
        <f t="shared" si="3"/>
        <v>КФКиС</v>
      </c>
    </row>
    <row r="213" spans="1:29" x14ac:dyDescent="0.25">
      <c r="A213" t="s">
        <v>22</v>
      </c>
      <c r="B213">
        <v>1101</v>
      </c>
      <c r="C213" t="s">
        <v>40</v>
      </c>
      <c r="D213">
        <v>621</v>
      </c>
      <c r="E213">
        <v>400010</v>
      </c>
      <c r="F213">
        <v>241</v>
      </c>
      <c r="G213">
        <v>223002</v>
      </c>
      <c r="H213" t="s">
        <v>33</v>
      </c>
      <c r="J213">
        <v>210</v>
      </c>
      <c r="K213">
        <v>272042534</v>
      </c>
      <c r="L213">
        <v>0</v>
      </c>
      <c r="M213">
        <v>0</v>
      </c>
      <c r="N213">
        <v>0</v>
      </c>
      <c r="O213">
        <v>0</v>
      </c>
      <c r="P213">
        <v>0</v>
      </c>
      <c r="Q213">
        <v>906700</v>
      </c>
      <c r="R213">
        <v>800000</v>
      </c>
      <c r="S213">
        <v>658200</v>
      </c>
      <c r="T213">
        <v>120000</v>
      </c>
      <c r="U213">
        <v>2484900</v>
      </c>
      <c r="V213">
        <v>-2484900</v>
      </c>
      <c r="X213" t="str">
        <f>VLOOKUP(Результат[[#This Row],[Тип средств]],Таблица4[],2,0)</f>
        <v>Бюджетные средства (Бюджет муниципального образования)</v>
      </c>
      <c r="Y213" t="str">
        <f>VLOOKUP(Результат[[#This Row],[Тип средств]],Таблица4[],3,0)</f>
        <v>Местный бюджет</v>
      </c>
      <c r="Z213" t="str">
        <f>IF(LEFT(Результат[[#This Row],[ЦСР]],2)="06",VLOOKUP(Результат[[#This Row],[ЦСР]],Таблица3[[ЦСР]:[Пункт подпрограммы]],4,0),"")</f>
        <v>1.1.4</v>
      </c>
      <c r="AA21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37" t="str">
        <f t="shared" si="3"/>
        <v>КФКиС</v>
      </c>
    </row>
    <row r="214" spans="1:29" x14ac:dyDescent="0.25">
      <c r="A214" t="s">
        <v>22</v>
      </c>
      <c r="B214">
        <v>1101</v>
      </c>
      <c r="C214" t="s">
        <v>40</v>
      </c>
      <c r="D214">
        <v>621</v>
      </c>
      <c r="E214">
        <v>400010</v>
      </c>
      <c r="F214">
        <v>241</v>
      </c>
      <c r="G214">
        <v>223003</v>
      </c>
      <c r="H214" t="s">
        <v>33</v>
      </c>
      <c r="J214">
        <v>210</v>
      </c>
      <c r="K214">
        <v>272042534</v>
      </c>
      <c r="L214">
        <v>0</v>
      </c>
      <c r="M214">
        <v>0</v>
      </c>
      <c r="N214">
        <v>0</v>
      </c>
      <c r="O214">
        <v>0</v>
      </c>
      <c r="P214">
        <v>0</v>
      </c>
      <c r="Q214">
        <v>553500</v>
      </c>
      <c r="R214">
        <v>255700</v>
      </c>
      <c r="S214">
        <v>0</v>
      </c>
      <c r="T214">
        <v>0</v>
      </c>
      <c r="U214">
        <v>809200</v>
      </c>
      <c r="V214">
        <v>-809200</v>
      </c>
      <c r="X214" t="str">
        <f>VLOOKUP(Результат[[#This Row],[Тип средств]],Таблица4[],2,0)</f>
        <v>Бюджетные средства (Бюджет муниципального образования)</v>
      </c>
      <c r="Y214" t="str">
        <f>VLOOKUP(Результат[[#This Row],[Тип средств]],Таблица4[],3,0)</f>
        <v>Местный бюджет</v>
      </c>
      <c r="Z214" t="str">
        <f>IF(LEFT(Результат[[#This Row],[ЦСР]],2)="06",VLOOKUP(Результат[[#This Row],[ЦСР]],Таблица3[[ЦСР]:[Пункт подпрограммы]],4,0),"")</f>
        <v>1.1.4</v>
      </c>
      <c r="AA21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37" t="str">
        <f t="shared" si="3"/>
        <v>КФКиС</v>
      </c>
    </row>
    <row r="215" spans="1:29" x14ac:dyDescent="0.25">
      <c r="A215" t="s">
        <v>22</v>
      </c>
      <c r="B215">
        <v>1101</v>
      </c>
      <c r="C215" t="s">
        <v>40</v>
      </c>
      <c r="D215">
        <v>621</v>
      </c>
      <c r="E215">
        <v>400010</v>
      </c>
      <c r="F215">
        <v>241</v>
      </c>
      <c r="G215">
        <v>223006</v>
      </c>
      <c r="H215" t="s">
        <v>33</v>
      </c>
      <c r="J215">
        <v>210</v>
      </c>
      <c r="K215">
        <v>272042534</v>
      </c>
      <c r="L215">
        <v>0</v>
      </c>
      <c r="M215">
        <v>0</v>
      </c>
      <c r="N215">
        <v>0</v>
      </c>
      <c r="O215">
        <v>0</v>
      </c>
      <c r="P215">
        <v>0</v>
      </c>
      <c r="Q215">
        <v>10000</v>
      </c>
      <c r="R215">
        <v>15000</v>
      </c>
      <c r="S215">
        <v>15000</v>
      </c>
      <c r="T215">
        <v>26900</v>
      </c>
      <c r="U215">
        <v>66900</v>
      </c>
      <c r="V215">
        <v>-66900</v>
      </c>
      <c r="X215" t="str">
        <f>VLOOKUP(Результат[[#This Row],[Тип средств]],Таблица4[],2,0)</f>
        <v>Бюджетные средства (Бюджет муниципального образования)</v>
      </c>
      <c r="Y215" t="str">
        <f>VLOOKUP(Результат[[#This Row],[Тип средств]],Таблица4[],3,0)</f>
        <v>Местный бюджет</v>
      </c>
      <c r="Z215" t="str">
        <f>IF(LEFT(Результат[[#This Row],[ЦСР]],2)="06",VLOOKUP(Результат[[#This Row],[ЦСР]],Таблица3[[ЦСР]:[Пункт подпрограммы]],4,0),"")</f>
        <v>1.1.4</v>
      </c>
      <c r="AA21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37" t="str">
        <f t="shared" si="3"/>
        <v>КФКиС</v>
      </c>
    </row>
    <row r="216" spans="1:29" x14ac:dyDescent="0.25">
      <c r="A216" t="s">
        <v>22</v>
      </c>
      <c r="B216">
        <v>1101</v>
      </c>
      <c r="C216" t="s">
        <v>40</v>
      </c>
      <c r="D216">
        <v>621</v>
      </c>
      <c r="E216">
        <v>400010</v>
      </c>
      <c r="F216">
        <v>241</v>
      </c>
      <c r="G216">
        <v>225003</v>
      </c>
      <c r="H216" t="s">
        <v>33</v>
      </c>
      <c r="J216">
        <v>210</v>
      </c>
      <c r="K216">
        <v>272042534</v>
      </c>
      <c r="L216">
        <v>0</v>
      </c>
      <c r="M216">
        <v>0</v>
      </c>
      <c r="N216">
        <v>0</v>
      </c>
      <c r="O216">
        <v>0</v>
      </c>
      <c r="P216">
        <v>0</v>
      </c>
      <c r="Q216">
        <v>25000</v>
      </c>
      <c r="R216">
        <v>25000</v>
      </c>
      <c r="S216">
        <v>25000</v>
      </c>
      <c r="T216">
        <v>44500</v>
      </c>
      <c r="U216">
        <v>119500</v>
      </c>
      <c r="V216">
        <v>-119500</v>
      </c>
      <c r="X216" t="str">
        <f>VLOOKUP(Результат[[#This Row],[Тип средств]],Таблица4[],2,0)</f>
        <v>Бюджетные средства (Бюджет муниципального образования)</v>
      </c>
      <c r="Y216" t="str">
        <f>VLOOKUP(Результат[[#This Row],[Тип средств]],Таблица4[],3,0)</f>
        <v>Местный бюджет</v>
      </c>
      <c r="Z216" t="str">
        <f>IF(LEFT(Результат[[#This Row],[ЦСР]],2)="06",VLOOKUP(Результат[[#This Row],[ЦСР]],Таблица3[[ЦСР]:[Пункт подпрограммы]],4,0),"")</f>
        <v>1.1.4</v>
      </c>
      <c r="AA21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37" t="str">
        <f t="shared" si="3"/>
        <v>КФКиС</v>
      </c>
    </row>
    <row r="217" spans="1:29" x14ac:dyDescent="0.25">
      <c r="A217" t="s">
        <v>22</v>
      </c>
      <c r="B217">
        <v>1101</v>
      </c>
      <c r="C217" t="s">
        <v>40</v>
      </c>
      <c r="D217">
        <v>621</v>
      </c>
      <c r="E217">
        <v>400010</v>
      </c>
      <c r="F217">
        <v>241</v>
      </c>
      <c r="G217">
        <v>225004</v>
      </c>
      <c r="H217" t="s">
        <v>33</v>
      </c>
      <c r="J217">
        <v>210</v>
      </c>
      <c r="K217">
        <v>272042534</v>
      </c>
      <c r="L217">
        <v>0</v>
      </c>
      <c r="M217">
        <v>0</v>
      </c>
      <c r="N217">
        <v>0</v>
      </c>
      <c r="O217">
        <v>0</v>
      </c>
      <c r="P217">
        <v>0</v>
      </c>
      <c r="Q217">
        <v>12800</v>
      </c>
      <c r="R217">
        <v>16800</v>
      </c>
      <c r="S217">
        <v>83000</v>
      </c>
      <c r="T217">
        <v>10900</v>
      </c>
      <c r="U217">
        <v>123500</v>
      </c>
      <c r="V217">
        <v>-123500</v>
      </c>
      <c r="X217" t="str">
        <f>VLOOKUP(Результат[[#This Row],[Тип средств]],Таблица4[],2,0)</f>
        <v>Бюджетные средства (Бюджет муниципального образования)</v>
      </c>
      <c r="Y217" t="str">
        <f>VLOOKUP(Результат[[#This Row],[Тип средств]],Таблица4[],3,0)</f>
        <v>Местный бюджет</v>
      </c>
      <c r="Z217" t="str">
        <f>IF(LEFT(Результат[[#This Row],[ЦСР]],2)="06",VLOOKUP(Результат[[#This Row],[ЦСР]],Таблица3[[ЦСР]:[Пункт подпрограммы]],4,0),"")</f>
        <v>1.1.4</v>
      </c>
      <c r="AA21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37" t="str">
        <f t="shared" si="3"/>
        <v>КФКиС</v>
      </c>
    </row>
    <row r="218" spans="1:29" x14ac:dyDescent="0.25">
      <c r="A218" t="s">
        <v>22</v>
      </c>
      <c r="B218">
        <v>1101</v>
      </c>
      <c r="C218" t="s">
        <v>40</v>
      </c>
      <c r="D218">
        <v>621</v>
      </c>
      <c r="E218">
        <v>400010</v>
      </c>
      <c r="F218">
        <v>241</v>
      </c>
      <c r="G218">
        <v>225005</v>
      </c>
      <c r="H218" t="s">
        <v>33</v>
      </c>
      <c r="J218">
        <v>210</v>
      </c>
      <c r="K218">
        <v>272042534</v>
      </c>
      <c r="L218">
        <v>0</v>
      </c>
      <c r="M218">
        <v>0</v>
      </c>
      <c r="N218">
        <v>0</v>
      </c>
      <c r="O218">
        <v>0</v>
      </c>
      <c r="P218">
        <v>0</v>
      </c>
      <c r="Q218">
        <v>72000</v>
      </c>
      <c r="R218">
        <v>108000</v>
      </c>
      <c r="S218">
        <v>108000</v>
      </c>
      <c r="T218">
        <v>144000</v>
      </c>
      <c r="U218">
        <v>432000</v>
      </c>
      <c r="V218">
        <v>-432000</v>
      </c>
      <c r="X218" t="str">
        <f>VLOOKUP(Результат[[#This Row],[Тип средств]],Таблица4[],2,0)</f>
        <v>Бюджетные средства (Бюджет муниципального образования)</v>
      </c>
      <c r="Y218" t="str">
        <f>VLOOKUP(Результат[[#This Row],[Тип средств]],Таблица4[],3,0)</f>
        <v>Местный бюджет</v>
      </c>
      <c r="Z218" t="str">
        <f>IF(LEFT(Результат[[#This Row],[ЦСР]],2)="06",VLOOKUP(Результат[[#This Row],[ЦСР]],Таблица3[[ЦСР]:[Пункт подпрограммы]],4,0),"")</f>
        <v>1.1.4</v>
      </c>
      <c r="AA21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37" t="str">
        <f t="shared" si="3"/>
        <v>КФКиС</v>
      </c>
    </row>
    <row r="219" spans="1:29" x14ac:dyDescent="0.25">
      <c r="A219" t="s">
        <v>22</v>
      </c>
      <c r="B219">
        <v>1101</v>
      </c>
      <c r="C219" t="s">
        <v>40</v>
      </c>
      <c r="D219">
        <v>621</v>
      </c>
      <c r="E219">
        <v>400010</v>
      </c>
      <c r="F219">
        <v>241</v>
      </c>
      <c r="G219">
        <v>226002</v>
      </c>
      <c r="H219" t="s">
        <v>33</v>
      </c>
      <c r="J219">
        <v>210</v>
      </c>
      <c r="K219">
        <v>272042535</v>
      </c>
      <c r="L219">
        <v>0</v>
      </c>
      <c r="M219">
        <v>0</v>
      </c>
      <c r="N219">
        <v>0</v>
      </c>
      <c r="O219">
        <v>0</v>
      </c>
      <c r="P219">
        <v>0</v>
      </c>
      <c r="Q219">
        <v>0</v>
      </c>
      <c r="R219">
        <v>0</v>
      </c>
      <c r="S219">
        <v>0</v>
      </c>
      <c r="T219">
        <v>104840</v>
      </c>
      <c r="U219">
        <v>104840</v>
      </c>
      <c r="V219">
        <v>-104840</v>
      </c>
      <c r="X219" t="str">
        <f>VLOOKUP(Результат[[#This Row],[Тип средств]],Таблица4[],2,0)</f>
        <v>Бюджетные средства (Бюджет муниципального образования)</v>
      </c>
      <c r="Y219" t="str">
        <f>VLOOKUP(Результат[[#This Row],[Тип средств]],Таблица4[],3,0)</f>
        <v>Местный бюджет</v>
      </c>
      <c r="Z219" t="str">
        <f>IF(LEFT(Результат[[#This Row],[ЦСР]],2)="06",VLOOKUP(Результат[[#This Row],[ЦСР]],Таблица3[[ЦСР]:[Пункт подпрограммы]],4,0),"")</f>
        <v>1.1.4</v>
      </c>
      <c r="AA21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37" t="str">
        <f t="shared" si="3"/>
        <v>КФКиС</v>
      </c>
    </row>
    <row r="220" spans="1:29" x14ac:dyDescent="0.25">
      <c r="A220" t="s">
        <v>22</v>
      </c>
      <c r="B220">
        <v>1101</v>
      </c>
      <c r="C220" t="s">
        <v>40</v>
      </c>
      <c r="D220">
        <v>621</v>
      </c>
      <c r="E220">
        <v>400010</v>
      </c>
      <c r="F220">
        <v>241</v>
      </c>
      <c r="G220">
        <v>226002</v>
      </c>
      <c r="H220" t="s">
        <v>33</v>
      </c>
      <c r="J220">
        <v>910</v>
      </c>
      <c r="K220">
        <v>272042535</v>
      </c>
      <c r="L220">
        <v>0</v>
      </c>
      <c r="M220">
        <v>0</v>
      </c>
      <c r="N220">
        <v>0</v>
      </c>
      <c r="O220">
        <v>80046.8</v>
      </c>
      <c r="P220">
        <v>-80046.8</v>
      </c>
      <c r="Q220">
        <v>1347900</v>
      </c>
      <c r="R220">
        <v>731550</v>
      </c>
      <c r="S220">
        <v>212000</v>
      </c>
      <c r="T220">
        <v>547800</v>
      </c>
      <c r="U220">
        <v>2839250</v>
      </c>
      <c r="V220">
        <v>-2839250</v>
      </c>
      <c r="X220" t="str">
        <f>VLOOKUP(Результат[[#This Row],[Тип средств]],Таблица4[],2,0)</f>
        <v>Бюджетные средства (Бюджет муниципального образования)</v>
      </c>
      <c r="Y220" t="str">
        <f>VLOOKUP(Результат[[#This Row],[Тип средств]],Таблица4[],3,0)</f>
        <v>Местный бюджет</v>
      </c>
      <c r="Z220" t="str">
        <f>IF(LEFT(Результат[[#This Row],[ЦСР]],2)="06",VLOOKUP(Результат[[#This Row],[ЦСР]],Таблица3[[ЦСР]:[Пункт подпрограммы]],4,0),"")</f>
        <v>1.1.4</v>
      </c>
      <c r="AA22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37" t="str">
        <f t="shared" si="3"/>
        <v>КФКиС</v>
      </c>
    </row>
    <row r="221" spans="1:29" x14ac:dyDescent="0.25">
      <c r="A221" t="s">
        <v>22</v>
      </c>
      <c r="B221">
        <v>1101</v>
      </c>
      <c r="C221" t="s">
        <v>40</v>
      </c>
      <c r="D221">
        <v>621</v>
      </c>
      <c r="E221">
        <v>400010</v>
      </c>
      <c r="F221">
        <v>241</v>
      </c>
      <c r="G221">
        <v>226004</v>
      </c>
      <c r="H221" t="s">
        <v>33</v>
      </c>
      <c r="J221">
        <v>210</v>
      </c>
      <c r="K221">
        <v>272042534</v>
      </c>
      <c r="L221">
        <v>0</v>
      </c>
      <c r="M221">
        <v>0</v>
      </c>
      <c r="N221">
        <v>0</v>
      </c>
      <c r="O221">
        <v>0</v>
      </c>
      <c r="P221">
        <v>0</v>
      </c>
      <c r="Q221">
        <v>200000</v>
      </c>
      <c r="R221">
        <v>300000</v>
      </c>
      <c r="S221">
        <v>110000</v>
      </c>
      <c r="T221">
        <v>488300</v>
      </c>
      <c r="U221">
        <v>1098300</v>
      </c>
      <c r="V221">
        <v>-1098300</v>
      </c>
      <c r="X221" t="str">
        <f>VLOOKUP(Результат[[#This Row],[Тип средств]],Таблица4[],2,0)</f>
        <v>Бюджетные средства (Бюджет муниципального образования)</v>
      </c>
      <c r="Y221" t="str">
        <f>VLOOKUP(Результат[[#This Row],[Тип средств]],Таблица4[],3,0)</f>
        <v>Местный бюджет</v>
      </c>
      <c r="Z221" t="str">
        <f>IF(LEFT(Результат[[#This Row],[ЦСР]],2)="06",VLOOKUP(Результат[[#This Row],[ЦСР]],Таблица3[[ЦСР]:[Пункт подпрограммы]],4,0),"")</f>
        <v>1.1.4</v>
      </c>
      <c r="AA22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37" t="str">
        <f t="shared" si="3"/>
        <v>КФКиС</v>
      </c>
    </row>
    <row r="222" spans="1:29" x14ac:dyDescent="0.25">
      <c r="A222" t="s">
        <v>22</v>
      </c>
      <c r="B222">
        <v>1101</v>
      </c>
      <c r="C222" t="s">
        <v>40</v>
      </c>
      <c r="D222">
        <v>621</v>
      </c>
      <c r="E222">
        <v>400010</v>
      </c>
      <c r="F222">
        <v>241</v>
      </c>
      <c r="G222">
        <v>226005</v>
      </c>
      <c r="H222" t="s">
        <v>33</v>
      </c>
      <c r="J222">
        <v>210</v>
      </c>
      <c r="K222">
        <v>272042534</v>
      </c>
      <c r="L222">
        <v>0</v>
      </c>
      <c r="M222">
        <v>0</v>
      </c>
      <c r="N222">
        <v>0</v>
      </c>
      <c r="O222">
        <v>0</v>
      </c>
      <c r="P222">
        <v>0</v>
      </c>
      <c r="Q222">
        <v>25800</v>
      </c>
      <c r="R222">
        <v>30000</v>
      </c>
      <c r="S222">
        <v>30000</v>
      </c>
      <c r="T222">
        <v>28800</v>
      </c>
      <c r="U222">
        <v>114600</v>
      </c>
      <c r="V222">
        <v>-114600</v>
      </c>
      <c r="X222" t="str">
        <f>VLOOKUP(Результат[[#This Row],[Тип средств]],Таблица4[],2,0)</f>
        <v>Бюджетные средства (Бюджет муниципального образования)</v>
      </c>
      <c r="Y222" t="str">
        <f>VLOOKUP(Результат[[#This Row],[Тип средств]],Таблица4[],3,0)</f>
        <v>Местный бюджет</v>
      </c>
      <c r="Z222" t="str">
        <f>IF(LEFT(Результат[[#This Row],[ЦСР]],2)="06",VLOOKUP(Результат[[#This Row],[ЦСР]],Таблица3[[ЦСР]:[Пункт подпрограммы]],4,0),"")</f>
        <v>1.1.4</v>
      </c>
      <c r="AA22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37" t="str">
        <f t="shared" si="3"/>
        <v>КФКиС</v>
      </c>
    </row>
    <row r="223" spans="1:29" x14ac:dyDescent="0.25">
      <c r="A223" t="s">
        <v>22</v>
      </c>
      <c r="B223">
        <v>1101</v>
      </c>
      <c r="C223" t="s">
        <v>40</v>
      </c>
      <c r="D223">
        <v>621</v>
      </c>
      <c r="E223">
        <v>400010</v>
      </c>
      <c r="F223">
        <v>241</v>
      </c>
      <c r="G223">
        <v>226010</v>
      </c>
      <c r="H223" t="s">
        <v>33</v>
      </c>
      <c r="J223">
        <v>210</v>
      </c>
      <c r="K223">
        <v>272042534</v>
      </c>
      <c r="L223">
        <v>0</v>
      </c>
      <c r="M223">
        <v>0</v>
      </c>
      <c r="N223">
        <v>0</v>
      </c>
      <c r="O223">
        <v>0</v>
      </c>
      <c r="P223">
        <v>0</v>
      </c>
      <c r="Q223">
        <v>355000</v>
      </c>
      <c r="R223">
        <v>200000</v>
      </c>
      <c r="S223">
        <v>200000</v>
      </c>
      <c r="T223">
        <v>210900</v>
      </c>
      <c r="U223">
        <v>965900</v>
      </c>
      <c r="V223">
        <v>-965900</v>
      </c>
      <c r="X223" t="str">
        <f>VLOOKUP(Результат[[#This Row],[Тип средств]],Таблица4[],2,0)</f>
        <v>Бюджетные средства (Бюджет муниципального образования)</v>
      </c>
      <c r="Y223" t="str">
        <f>VLOOKUP(Результат[[#This Row],[Тип средств]],Таблица4[],3,0)</f>
        <v>Местный бюджет</v>
      </c>
      <c r="Z223" t="str">
        <f>IF(LEFT(Результат[[#This Row],[ЦСР]],2)="06",VLOOKUP(Результат[[#This Row],[ЦСР]],Таблица3[[ЦСР]:[Пункт подпрограммы]],4,0),"")</f>
        <v>1.1.4</v>
      </c>
      <c r="AA22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37" t="str">
        <f t="shared" si="3"/>
        <v>КФКиС</v>
      </c>
    </row>
    <row r="224" spans="1:29" x14ac:dyDescent="0.25">
      <c r="A224" t="s">
        <v>22</v>
      </c>
      <c r="B224">
        <v>1101</v>
      </c>
      <c r="C224" t="s">
        <v>40</v>
      </c>
      <c r="D224">
        <v>621</v>
      </c>
      <c r="E224">
        <v>400010</v>
      </c>
      <c r="F224">
        <v>241</v>
      </c>
      <c r="G224">
        <v>226011</v>
      </c>
      <c r="H224" t="s">
        <v>33</v>
      </c>
      <c r="J224">
        <v>210</v>
      </c>
      <c r="K224">
        <v>272042534</v>
      </c>
      <c r="L224">
        <v>0</v>
      </c>
      <c r="M224">
        <v>0</v>
      </c>
      <c r="N224">
        <v>0</v>
      </c>
      <c r="O224">
        <v>0</v>
      </c>
      <c r="P224">
        <v>0</v>
      </c>
      <c r="Q224">
        <v>0</v>
      </c>
      <c r="R224">
        <v>0</v>
      </c>
      <c r="S224">
        <v>357400</v>
      </c>
      <c r="T224">
        <v>0</v>
      </c>
      <c r="U224">
        <v>357400</v>
      </c>
      <c r="V224">
        <v>-357400</v>
      </c>
      <c r="X224" t="str">
        <f>VLOOKUP(Результат[[#This Row],[Тип средств]],Таблица4[],2,0)</f>
        <v>Бюджетные средства (Бюджет муниципального образования)</v>
      </c>
      <c r="Y224" t="str">
        <f>VLOOKUP(Результат[[#This Row],[Тип средств]],Таблица4[],3,0)</f>
        <v>Местный бюджет</v>
      </c>
      <c r="Z224" t="str">
        <f>IF(LEFT(Результат[[#This Row],[ЦСР]],2)="06",VLOOKUP(Результат[[#This Row],[ЦСР]],Таблица3[[ЦСР]:[Пункт подпрограммы]],4,0),"")</f>
        <v>1.1.4</v>
      </c>
      <c r="AA22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37" t="str">
        <f t="shared" si="3"/>
        <v>КФКиС</v>
      </c>
    </row>
    <row r="225" spans="1:29" x14ac:dyDescent="0.25">
      <c r="A225" t="s">
        <v>22</v>
      </c>
      <c r="B225">
        <v>1101</v>
      </c>
      <c r="C225" t="s">
        <v>40</v>
      </c>
      <c r="D225">
        <v>621</v>
      </c>
      <c r="E225">
        <v>400010</v>
      </c>
      <c r="F225">
        <v>241</v>
      </c>
      <c r="G225">
        <v>226012</v>
      </c>
      <c r="H225" t="s">
        <v>33</v>
      </c>
      <c r="J225">
        <v>210</v>
      </c>
      <c r="K225">
        <v>272042534</v>
      </c>
      <c r="L225">
        <v>0</v>
      </c>
      <c r="M225">
        <v>0</v>
      </c>
      <c r="N225">
        <v>0</v>
      </c>
      <c r="O225">
        <v>0</v>
      </c>
      <c r="P225">
        <v>0</v>
      </c>
      <c r="Q225">
        <v>0</v>
      </c>
      <c r="R225">
        <v>99000</v>
      </c>
      <c r="S225">
        <v>99000</v>
      </c>
      <c r="T225">
        <v>0</v>
      </c>
      <c r="U225">
        <v>198000</v>
      </c>
      <c r="V225">
        <v>-198000</v>
      </c>
      <c r="X225" t="str">
        <f>VLOOKUP(Результат[[#This Row],[Тип средств]],Таблица4[],2,0)</f>
        <v>Бюджетные средства (Бюджет муниципального образования)</v>
      </c>
      <c r="Y225" t="str">
        <f>VLOOKUP(Результат[[#This Row],[Тип средств]],Таблица4[],3,0)</f>
        <v>Местный бюджет</v>
      </c>
      <c r="Z225" t="str">
        <f>IF(LEFT(Результат[[#This Row],[ЦСР]],2)="06",VLOOKUP(Результат[[#This Row],[ЦСР]],Таблица3[[ЦСР]:[Пункт подпрограммы]],4,0),"")</f>
        <v>1.1.4</v>
      </c>
      <c r="AA22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37" t="str">
        <f t="shared" si="3"/>
        <v>КФКиС</v>
      </c>
    </row>
    <row r="226" spans="1:29" x14ac:dyDescent="0.25">
      <c r="A226" t="s">
        <v>22</v>
      </c>
      <c r="B226">
        <v>1101</v>
      </c>
      <c r="C226" t="s">
        <v>40</v>
      </c>
      <c r="D226">
        <v>621</v>
      </c>
      <c r="E226">
        <v>400010</v>
      </c>
      <c r="F226">
        <v>241</v>
      </c>
      <c r="G226">
        <v>267001</v>
      </c>
      <c r="H226" t="s">
        <v>33</v>
      </c>
      <c r="J226">
        <v>910</v>
      </c>
      <c r="K226">
        <v>272042534</v>
      </c>
      <c r="L226">
        <v>0</v>
      </c>
      <c r="M226">
        <v>0</v>
      </c>
      <c r="N226">
        <v>0</v>
      </c>
      <c r="O226">
        <v>0</v>
      </c>
      <c r="P226">
        <v>0</v>
      </c>
      <c r="Q226">
        <v>0</v>
      </c>
      <c r="R226">
        <v>20000</v>
      </c>
      <c r="S226">
        <v>40000</v>
      </c>
      <c r="T226">
        <v>40000</v>
      </c>
      <c r="U226">
        <v>100000</v>
      </c>
      <c r="V226">
        <v>-100000</v>
      </c>
      <c r="X226" t="str">
        <f>VLOOKUP(Результат[[#This Row],[Тип средств]],Таблица4[],2,0)</f>
        <v>Бюджетные средства (Бюджет муниципального образования)</v>
      </c>
      <c r="Y226" t="str">
        <f>VLOOKUP(Результат[[#This Row],[Тип средств]],Таблица4[],3,0)</f>
        <v>Местный бюджет</v>
      </c>
      <c r="Z226" t="str">
        <f>IF(LEFT(Результат[[#This Row],[ЦСР]],2)="06",VLOOKUP(Результат[[#This Row],[ЦСР]],Таблица3[[ЦСР]:[Пункт подпрограммы]],4,0),"")</f>
        <v>1.1.4</v>
      </c>
      <c r="AA22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37" t="str">
        <f t="shared" si="3"/>
        <v>КФКиС</v>
      </c>
    </row>
    <row r="227" spans="1:29" x14ac:dyDescent="0.25">
      <c r="A227" t="s">
        <v>22</v>
      </c>
      <c r="B227">
        <v>1101</v>
      </c>
      <c r="C227" t="s">
        <v>40</v>
      </c>
      <c r="D227">
        <v>621</v>
      </c>
      <c r="E227">
        <v>400010</v>
      </c>
      <c r="F227">
        <v>241</v>
      </c>
      <c r="G227">
        <v>267002</v>
      </c>
      <c r="H227" t="s">
        <v>33</v>
      </c>
      <c r="J227">
        <v>910</v>
      </c>
      <c r="K227">
        <v>272042534</v>
      </c>
      <c r="L227">
        <v>0</v>
      </c>
      <c r="M227">
        <v>0</v>
      </c>
      <c r="N227">
        <v>0</v>
      </c>
      <c r="O227">
        <v>0</v>
      </c>
      <c r="P227">
        <v>0</v>
      </c>
      <c r="Q227">
        <v>0</v>
      </c>
      <c r="R227">
        <v>6040</v>
      </c>
      <c r="S227">
        <v>12080</v>
      </c>
      <c r="T227">
        <v>12080</v>
      </c>
      <c r="U227">
        <v>30200</v>
      </c>
      <c r="V227">
        <v>-30200</v>
      </c>
      <c r="X227" t="str">
        <f>VLOOKUP(Результат[[#This Row],[Тип средств]],Таблица4[],2,0)</f>
        <v>Бюджетные средства (Бюджет муниципального образования)</v>
      </c>
      <c r="Y227" t="str">
        <f>VLOOKUP(Результат[[#This Row],[Тип средств]],Таблица4[],3,0)</f>
        <v>Местный бюджет</v>
      </c>
      <c r="Z227" t="str">
        <f>IF(LEFT(Результат[[#This Row],[ЦСР]],2)="06",VLOOKUP(Результат[[#This Row],[ЦСР]],Таблица3[[ЦСР]:[Пункт подпрограммы]],4,0),"")</f>
        <v>1.1.4</v>
      </c>
      <c r="AA2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37" t="str">
        <f t="shared" si="3"/>
        <v>КФКиС</v>
      </c>
    </row>
    <row r="228" spans="1:29" x14ac:dyDescent="0.25">
      <c r="A228" t="s">
        <v>22</v>
      </c>
      <c r="B228">
        <v>1101</v>
      </c>
      <c r="C228" t="s">
        <v>40</v>
      </c>
      <c r="D228">
        <v>621</v>
      </c>
      <c r="E228">
        <v>400010</v>
      </c>
      <c r="F228">
        <v>241</v>
      </c>
      <c r="G228">
        <v>291001</v>
      </c>
      <c r="H228" t="s">
        <v>33</v>
      </c>
      <c r="J228">
        <v>910</v>
      </c>
      <c r="K228">
        <v>272042534</v>
      </c>
      <c r="L228">
        <v>0</v>
      </c>
      <c r="M228">
        <v>0</v>
      </c>
      <c r="N228">
        <v>0</v>
      </c>
      <c r="O228">
        <v>0</v>
      </c>
      <c r="P228">
        <v>0</v>
      </c>
      <c r="Q228">
        <v>200321</v>
      </c>
      <c r="R228">
        <v>48273</v>
      </c>
      <c r="S228">
        <v>47779</v>
      </c>
      <c r="T228">
        <v>44327</v>
      </c>
      <c r="U228">
        <v>340700</v>
      </c>
      <c r="V228">
        <v>-340700</v>
      </c>
      <c r="X228" t="str">
        <f>VLOOKUP(Результат[[#This Row],[Тип средств]],Таблица4[],2,0)</f>
        <v>Бюджетные средства (Бюджет муниципального образования)</v>
      </c>
      <c r="Y228" t="str">
        <f>VLOOKUP(Результат[[#This Row],[Тип средств]],Таблица4[],3,0)</f>
        <v>Местный бюджет</v>
      </c>
      <c r="Z228" t="str">
        <f>IF(LEFT(Результат[[#This Row],[ЦСР]],2)="06",VLOOKUP(Результат[[#This Row],[ЦСР]],Таблица3[[ЦСР]:[Пункт подпрограммы]],4,0),"")</f>
        <v>1.1.4</v>
      </c>
      <c r="AA22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37" t="str">
        <f t="shared" si="3"/>
        <v>КФКиС</v>
      </c>
    </row>
    <row r="229" spans="1:29" x14ac:dyDescent="0.25">
      <c r="A229" t="s">
        <v>22</v>
      </c>
      <c r="B229">
        <v>1101</v>
      </c>
      <c r="C229" t="s">
        <v>40</v>
      </c>
      <c r="D229">
        <v>621</v>
      </c>
      <c r="E229">
        <v>400010</v>
      </c>
      <c r="F229">
        <v>241</v>
      </c>
      <c r="G229">
        <v>341001</v>
      </c>
      <c r="H229" t="s">
        <v>33</v>
      </c>
      <c r="J229">
        <v>210</v>
      </c>
      <c r="K229">
        <v>272042534</v>
      </c>
      <c r="L229">
        <v>0</v>
      </c>
      <c r="M229">
        <v>0</v>
      </c>
      <c r="N229">
        <v>0</v>
      </c>
      <c r="O229">
        <v>0</v>
      </c>
      <c r="P229">
        <v>0</v>
      </c>
      <c r="Q229">
        <v>0</v>
      </c>
      <c r="R229">
        <v>0</v>
      </c>
      <c r="S229">
        <v>55700</v>
      </c>
      <c r="T229">
        <v>0</v>
      </c>
      <c r="U229">
        <v>55700</v>
      </c>
      <c r="V229">
        <v>-55700</v>
      </c>
      <c r="X229" t="str">
        <f>VLOOKUP(Результат[[#This Row],[Тип средств]],Таблица4[],2,0)</f>
        <v>Бюджетные средства (Бюджет муниципального образования)</v>
      </c>
      <c r="Y229" t="str">
        <f>VLOOKUP(Результат[[#This Row],[Тип средств]],Таблица4[],3,0)</f>
        <v>Местный бюджет</v>
      </c>
      <c r="Z229" t="str">
        <f>IF(LEFT(Результат[[#This Row],[ЦСР]],2)="06",VLOOKUP(Результат[[#This Row],[ЦСР]],Таблица3[[ЦСР]:[Пункт подпрограммы]],4,0),"")</f>
        <v>1.1.4</v>
      </c>
      <c r="AA22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37" t="str">
        <f t="shared" si="3"/>
        <v>КФКиС</v>
      </c>
    </row>
    <row r="230" spans="1:29" x14ac:dyDescent="0.25">
      <c r="A230" t="s">
        <v>22</v>
      </c>
      <c r="B230">
        <v>1101</v>
      </c>
      <c r="C230" t="s">
        <v>40</v>
      </c>
      <c r="D230">
        <v>621</v>
      </c>
      <c r="E230">
        <v>400010</v>
      </c>
      <c r="F230">
        <v>241</v>
      </c>
      <c r="G230">
        <v>345003</v>
      </c>
      <c r="H230" t="s">
        <v>33</v>
      </c>
      <c r="J230">
        <v>210</v>
      </c>
      <c r="K230">
        <v>272042534</v>
      </c>
      <c r="L230">
        <v>0</v>
      </c>
      <c r="M230">
        <v>0</v>
      </c>
      <c r="N230">
        <v>0</v>
      </c>
      <c r="O230">
        <v>0</v>
      </c>
      <c r="P230">
        <v>0</v>
      </c>
      <c r="Q230">
        <v>0</v>
      </c>
      <c r="R230">
        <v>0</v>
      </c>
      <c r="S230">
        <v>259200</v>
      </c>
      <c r="T230">
        <v>0</v>
      </c>
      <c r="U230">
        <v>259200</v>
      </c>
      <c r="V230">
        <v>-259200</v>
      </c>
      <c r="X230" t="str">
        <f>VLOOKUP(Результат[[#This Row],[Тип средств]],Таблица4[],2,0)</f>
        <v>Бюджетные средства (Бюджет муниципального образования)</v>
      </c>
      <c r="Y230" t="str">
        <f>VLOOKUP(Результат[[#This Row],[Тип средств]],Таблица4[],3,0)</f>
        <v>Местный бюджет</v>
      </c>
      <c r="Z230" t="str">
        <f>IF(LEFT(Результат[[#This Row],[ЦСР]],2)="06",VLOOKUP(Результат[[#This Row],[ЦСР]],Таблица3[[ЦСР]:[Пункт подпрограммы]],4,0),"")</f>
        <v>1.1.4</v>
      </c>
      <c r="AA23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37" t="str">
        <f t="shared" si="3"/>
        <v>КФКиС</v>
      </c>
    </row>
    <row r="231" spans="1:29" x14ac:dyDescent="0.25">
      <c r="A231" t="s">
        <v>22</v>
      </c>
      <c r="B231">
        <v>1101</v>
      </c>
      <c r="C231" t="s">
        <v>40</v>
      </c>
      <c r="D231">
        <v>621</v>
      </c>
      <c r="E231">
        <v>400010</v>
      </c>
      <c r="F231">
        <v>241</v>
      </c>
      <c r="G231">
        <v>346001</v>
      </c>
      <c r="H231" t="s">
        <v>33</v>
      </c>
      <c r="J231">
        <v>210</v>
      </c>
      <c r="K231">
        <v>272042534</v>
      </c>
      <c r="L231">
        <v>0</v>
      </c>
      <c r="M231">
        <v>0</v>
      </c>
      <c r="N231">
        <v>0</v>
      </c>
      <c r="O231">
        <v>0</v>
      </c>
      <c r="P231">
        <v>0</v>
      </c>
      <c r="Q231">
        <v>400000</v>
      </c>
      <c r="R231">
        <v>400000</v>
      </c>
      <c r="S231">
        <v>450000</v>
      </c>
      <c r="T231">
        <v>582700</v>
      </c>
      <c r="U231">
        <v>1832700</v>
      </c>
      <c r="V231">
        <v>-1832700</v>
      </c>
      <c r="X231" t="str">
        <f>VLOOKUP(Результат[[#This Row],[Тип средств]],Таблица4[],2,0)</f>
        <v>Бюджетные средства (Бюджет муниципального образования)</v>
      </c>
      <c r="Y231" t="str">
        <f>VLOOKUP(Результат[[#This Row],[Тип средств]],Таблица4[],3,0)</f>
        <v>Местный бюджет</v>
      </c>
      <c r="Z231" t="str">
        <f>IF(LEFT(Результат[[#This Row],[ЦСР]],2)="06",VLOOKUP(Результат[[#This Row],[ЦСР]],Таблица3[[ЦСР]:[Пункт подпрограммы]],4,0),"")</f>
        <v>1.1.4</v>
      </c>
      <c r="AA23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37" t="str">
        <f t="shared" si="3"/>
        <v>КФКиС</v>
      </c>
    </row>
    <row r="232" spans="1:29" x14ac:dyDescent="0.25">
      <c r="A232" t="s">
        <v>22</v>
      </c>
      <c r="B232">
        <v>1101</v>
      </c>
      <c r="C232" t="s">
        <v>40</v>
      </c>
      <c r="D232">
        <v>621</v>
      </c>
      <c r="E232">
        <v>400010</v>
      </c>
      <c r="F232">
        <v>241</v>
      </c>
      <c r="G232">
        <v>349001</v>
      </c>
      <c r="H232" t="s">
        <v>33</v>
      </c>
      <c r="J232">
        <v>210</v>
      </c>
      <c r="K232">
        <v>272042534</v>
      </c>
      <c r="L232">
        <v>0</v>
      </c>
      <c r="M232">
        <v>0</v>
      </c>
      <c r="N232">
        <v>0</v>
      </c>
      <c r="O232">
        <v>0</v>
      </c>
      <c r="P232">
        <v>0</v>
      </c>
      <c r="Q232">
        <v>12250</v>
      </c>
      <c r="R232">
        <v>12250</v>
      </c>
      <c r="S232">
        <v>12250</v>
      </c>
      <c r="T232">
        <v>12250</v>
      </c>
      <c r="U232">
        <v>49000</v>
      </c>
      <c r="V232">
        <v>-49000</v>
      </c>
      <c r="X232" t="str">
        <f>VLOOKUP(Результат[[#This Row],[Тип средств]],Таблица4[],2,0)</f>
        <v>Бюджетные средства (Бюджет муниципального образования)</v>
      </c>
      <c r="Y232" t="str">
        <f>VLOOKUP(Результат[[#This Row],[Тип средств]],Таблица4[],3,0)</f>
        <v>Местный бюджет</v>
      </c>
      <c r="Z232" t="str">
        <f>IF(LEFT(Результат[[#This Row],[ЦСР]],2)="06",VLOOKUP(Результат[[#This Row],[ЦСР]],Таблица3[[ЦСР]:[Пункт подпрограммы]],4,0),"")</f>
        <v>1.1.4</v>
      </c>
      <c r="AA23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37" t="str">
        <f t="shared" si="3"/>
        <v>КФКиС</v>
      </c>
    </row>
    <row r="233" spans="1:29" x14ac:dyDescent="0.25">
      <c r="A233" t="s">
        <v>22</v>
      </c>
      <c r="B233">
        <v>1101</v>
      </c>
      <c r="C233" t="s">
        <v>40</v>
      </c>
      <c r="D233">
        <v>621</v>
      </c>
      <c r="E233">
        <v>400010</v>
      </c>
      <c r="F233">
        <v>241</v>
      </c>
      <c r="G233">
        <v>349002</v>
      </c>
      <c r="H233" t="s">
        <v>33</v>
      </c>
      <c r="J233">
        <v>210</v>
      </c>
      <c r="K233">
        <v>272042535</v>
      </c>
      <c r="L233">
        <v>0</v>
      </c>
      <c r="M233">
        <v>0</v>
      </c>
      <c r="N233">
        <v>0</v>
      </c>
      <c r="O233">
        <v>0</v>
      </c>
      <c r="P233">
        <v>0</v>
      </c>
      <c r="Q233">
        <v>0</v>
      </c>
      <c r="R233">
        <v>0</v>
      </c>
      <c r="S233">
        <v>13761</v>
      </c>
      <c r="T233">
        <v>0</v>
      </c>
      <c r="U233">
        <v>13761</v>
      </c>
      <c r="V233">
        <v>-13761</v>
      </c>
      <c r="X233" t="str">
        <f>VLOOKUP(Результат[[#This Row],[Тип средств]],Таблица4[],2,0)</f>
        <v>Бюджетные средства (Бюджет муниципального образования)</v>
      </c>
      <c r="Y233" t="str">
        <f>VLOOKUP(Результат[[#This Row],[Тип средств]],Таблица4[],3,0)</f>
        <v>Местный бюджет</v>
      </c>
      <c r="Z233" t="str">
        <f>IF(LEFT(Результат[[#This Row],[ЦСР]],2)="06",VLOOKUP(Результат[[#This Row],[ЦСР]],Таблица3[[ЦСР]:[Пункт подпрограммы]],4,0),"")</f>
        <v>1.1.4</v>
      </c>
      <c r="AA23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37" t="str">
        <f t="shared" si="3"/>
        <v>КФКиС</v>
      </c>
    </row>
    <row r="234" spans="1:29" x14ac:dyDescent="0.25">
      <c r="A234" t="s">
        <v>22</v>
      </c>
      <c r="B234">
        <v>1101</v>
      </c>
      <c r="C234" t="s">
        <v>41</v>
      </c>
      <c r="D234">
        <v>611</v>
      </c>
      <c r="E234">
        <v>400010</v>
      </c>
      <c r="F234">
        <v>241</v>
      </c>
      <c r="G234">
        <v>226010</v>
      </c>
      <c r="H234" t="s">
        <v>29</v>
      </c>
      <c r="J234">
        <v>120</v>
      </c>
      <c r="K234">
        <v>272042534</v>
      </c>
      <c r="L234">
        <v>-229574</v>
      </c>
      <c r="M234">
        <v>-275490</v>
      </c>
      <c r="N234">
        <v>-298448</v>
      </c>
      <c r="O234">
        <v>0</v>
      </c>
      <c r="P234">
        <v>-229574</v>
      </c>
      <c r="Q234">
        <v>19100</v>
      </c>
      <c r="R234">
        <v>86074</v>
      </c>
      <c r="S234">
        <v>32700</v>
      </c>
      <c r="T234">
        <v>91700</v>
      </c>
      <c r="U234">
        <v>229574</v>
      </c>
      <c r="V234">
        <v>-459148</v>
      </c>
      <c r="X234" t="str">
        <f>VLOOKUP(Результат[[#This Row],[Тип средств]],Таблица4[],2,0)</f>
        <v>Бюджетные средства (Бюджет муниципального образования)</v>
      </c>
      <c r="Y234" t="str">
        <f>VLOOKUP(Результат[[#This Row],[Тип средств]],Таблица4[],3,0)</f>
        <v>Местный бюджет</v>
      </c>
      <c r="Z234" t="str">
        <f>IF(LEFT(Результат[[#This Row],[ЦСР]],2)="06",VLOOKUP(Результат[[#This Row],[ЦСР]],Таблица3[[ЦСР]:[Пункт подпрограммы]],4,0),"")</f>
        <v>1.1.4</v>
      </c>
      <c r="AA23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37" t="str">
        <f t="shared" si="3"/>
        <v>КФКиС</v>
      </c>
    </row>
    <row r="235" spans="1:29" x14ac:dyDescent="0.25">
      <c r="A235" t="s">
        <v>22</v>
      </c>
      <c r="B235">
        <v>1101</v>
      </c>
      <c r="C235" t="s">
        <v>41</v>
      </c>
      <c r="D235">
        <v>611</v>
      </c>
      <c r="E235">
        <v>400010</v>
      </c>
      <c r="F235">
        <v>241</v>
      </c>
      <c r="G235">
        <v>226010</v>
      </c>
      <c r="H235" t="s">
        <v>31</v>
      </c>
      <c r="J235">
        <v>120</v>
      </c>
      <c r="K235">
        <v>272042534</v>
      </c>
      <c r="L235">
        <v>-7320</v>
      </c>
      <c r="M235">
        <v>-10607</v>
      </c>
      <c r="N235">
        <v>-52224</v>
      </c>
      <c r="O235">
        <v>0</v>
      </c>
      <c r="P235">
        <v>-7320</v>
      </c>
      <c r="Q235">
        <v>7320</v>
      </c>
      <c r="R235">
        <v>0</v>
      </c>
      <c r="S235">
        <v>0</v>
      </c>
      <c r="T235">
        <v>0</v>
      </c>
      <c r="U235">
        <v>7320</v>
      </c>
      <c r="V235">
        <v>-14640</v>
      </c>
      <c r="X235" t="str">
        <f>VLOOKUP(Результат[[#This Row],[Тип средств]],Таблица4[],2,0)</f>
        <v>Бюджетные средства (Бюджет муниципального образования)</v>
      </c>
      <c r="Y235" t="str">
        <f>VLOOKUP(Результат[[#This Row],[Тип средств]],Таблица4[],3,0)</f>
        <v>Местный бюджет</v>
      </c>
      <c r="Z235" t="str">
        <f>IF(LEFT(Результат[[#This Row],[ЦСР]],2)="06",VLOOKUP(Результат[[#This Row],[ЦСР]],Таблица3[[ЦСР]:[Пункт подпрограммы]],4,0),"")</f>
        <v>1.1.4</v>
      </c>
      <c r="AA23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37" t="str">
        <f t="shared" si="3"/>
        <v>КФКиС</v>
      </c>
    </row>
    <row r="236" spans="1:29" x14ac:dyDescent="0.25">
      <c r="A236" t="s">
        <v>22</v>
      </c>
      <c r="B236">
        <v>1101</v>
      </c>
      <c r="C236" t="s">
        <v>41</v>
      </c>
      <c r="D236">
        <v>611</v>
      </c>
      <c r="E236">
        <v>400010</v>
      </c>
      <c r="F236">
        <v>241</v>
      </c>
      <c r="G236">
        <v>226010</v>
      </c>
      <c r="H236" t="s">
        <v>24</v>
      </c>
      <c r="J236">
        <v>120</v>
      </c>
      <c r="K236">
        <v>272042534</v>
      </c>
      <c r="L236">
        <v>-178970</v>
      </c>
      <c r="M236">
        <v>-291748</v>
      </c>
      <c r="N236">
        <v>-397752</v>
      </c>
      <c r="O236">
        <v>0</v>
      </c>
      <c r="P236">
        <v>-178970</v>
      </c>
      <c r="Q236">
        <v>56400</v>
      </c>
      <c r="R236">
        <v>58800</v>
      </c>
      <c r="S236">
        <v>18800</v>
      </c>
      <c r="T236">
        <v>44970</v>
      </c>
      <c r="U236">
        <v>178970</v>
      </c>
      <c r="V236">
        <v>-357940</v>
      </c>
      <c r="X236" t="str">
        <f>VLOOKUP(Результат[[#This Row],[Тип средств]],Таблица4[],2,0)</f>
        <v>Бюджетные средства (Бюджет муниципального образования)</v>
      </c>
      <c r="Y236" t="str">
        <f>VLOOKUP(Результат[[#This Row],[Тип средств]],Таблица4[],3,0)</f>
        <v>Местный бюджет</v>
      </c>
      <c r="Z236" t="str">
        <f>IF(LEFT(Результат[[#This Row],[ЦСР]],2)="06",VLOOKUP(Результат[[#This Row],[ЦСР]],Таблица3[[ЦСР]:[Пункт подпрограммы]],4,0),"")</f>
        <v>1.1.4</v>
      </c>
      <c r="AA23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37" t="str">
        <f t="shared" si="3"/>
        <v>КФКиС</v>
      </c>
    </row>
    <row r="237" spans="1:29" x14ac:dyDescent="0.25">
      <c r="A237" t="s">
        <v>22</v>
      </c>
      <c r="B237">
        <v>1101</v>
      </c>
      <c r="C237" t="s">
        <v>41</v>
      </c>
      <c r="D237">
        <v>611</v>
      </c>
      <c r="E237">
        <v>400010</v>
      </c>
      <c r="F237">
        <v>241</v>
      </c>
      <c r="G237">
        <v>226011</v>
      </c>
      <c r="H237" t="s">
        <v>29</v>
      </c>
      <c r="J237">
        <v>120</v>
      </c>
      <c r="K237">
        <v>272042534</v>
      </c>
      <c r="L237">
        <v>-61370</v>
      </c>
      <c r="M237">
        <v>-194599</v>
      </c>
      <c r="N237">
        <v>-340384</v>
      </c>
      <c r="O237">
        <v>0</v>
      </c>
      <c r="P237">
        <v>-61370</v>
      </c>
      <c r="Q237">
        <v>0</v>
      </c>
      <c r="R237">
        <v>61370</v>
      </c>
      <c r="S237">
        <v>0</v>
      </c>
      <c r="T237">
        <v>0</v>
      </c>
      <c r="U237">
        <v>61370</v>
      </c>
      <c r="V237">
        <v>-122740</v>
      </c>
      <c r="X237" t="str">
        <f>VLOOKUP(Результат[[#This Row],[Тип средств]],Таблица4[],2,0)</f>
        <v>Бюджетные средства (Бюджет муниципального образования)</v>
      </c>
      <c r="Y237" t="str">
        <f>VLOOKUP(Результат[[#This Row],[Тип средств]],Таблица4[],3,0)</f>
        <v>Местный бюджет</v>
      </c>
      <c r="Z237" t="str">
        <f>IF(LEFT(Результат[[#This Row],[ЦСР]],2)="06",VLOOKUP(Результат[[#This Row],[ЦСР]],Таблица3[[ЦСР]:[Пункт подпрограммы]],4,0),"")</f>
        <v>1.1.4</v>
      </c>
      <c r="AA23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37" t="str">
        <f t="shared" si="3"/>
        <v>КФКиС</v>
      </c>
    </row>
    <row r="238" spans="1:29" x14ac:dyDescent="0.25">
      <c r="A238" t="s">
        <v>22</v>
      </c>
      <c r="B238">
        <v>1101</v>
      </c>
      <c r="C238" t="s">
        <v>41</v>
      </c>
      <c r="D238">
        <v>611</v>
      </c>
      <c r="E238">
        <v>400010</v>
      </c>
      <c r="F238">
        <v>241</v>
      </c>
      <c r="G238">
        <v>226011</v>
      </c>
      <c r="H238" t="s">
        <v>31</v>
      </c>
      <c r="J238">
        <v>120</v>
      </c>
      <c r="K238">
        <v>272042534</v>
      </c>
      <c r="L238">
        <v>-168320</v>
      </c>
      <c r="M238">
        <v>-259840</v>
      </c>
      <c r="N238">
        <v>-304640</v>
      </c>
      <c r="O238">
        <v>0</v>
      </c>
      <c r="P238">
        <v>-168320</v>
      </c>
      <c r="Q238">
        <v>0</v>
      </c>
      <c r="R238">
        <v>0</v>
      </c>
      <c r="S238">
        <v>0</v>
      </c>
      <c r="T238">
        <v>168320</v>
      </c>
      <c r="U238">
        <v>168320</v>
      </c>
      <c r="V238">
        <v>-336640</v>
      </c>
      <c r="X238" t="str">
        <f>VLOOKUP(Результат[[#This Row],[Тип средств]],Таблица4[],2,0)</f>
        <v>Бюджетные средства (Бюджет муниципального образования)</v>
      </c>
      <c r="Y238" t="str">
        <f>VLOOKUP(Результат[[#This Row],[Тип средств]],Таблица4[],3,0)</f>
        <v>Местный бюджет</v>
      </c>
      <c r="Z238" t="str">
        <f>IF(LEFT(Результат[[#This Row],[ЦСР]],2)="06",VLOOKUP(Результат[[#This Row],[ЦСР]],Таблица3[[ЦСР]:[Пункт подпрограммы]],4,0),"")</f>
        <v>1.1.4</v>
      </c>
      <c r="AA23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37" t="str">
        <f t="shared" si="3"/>
        <v>КФКиС</v>
      </c>
    </row>
    <row r="239" spans="1:29" x14ac:dyDescent="0.25">
      <c r="A239" t="s">
        <v>22</v>
      </c>
      <c r="B239">
        <v>1101</v>
      </c>
      <c r="C239" t="s">
        <v>41</v>
      </c>
      <c r="D239">
        <v>611</v>
      </c>
      <c r="E239">
        <v>400010</v>
      </c>
      <c r="F239">
        <v>241</v>
      </c>
      <c r="G239">
        <v>310003</v>
      </c>
      <c r="H239" t="s">
        <v>29</v>
      </c>
      <c r="J239">
        <v>120</v>
      </c>
      <c r="K239">
        <v>272042534</v>
      </c>
      <c r="L239">
        <v>-25250</v>
      </c>
      <c r="M239">
        <v>-25250</v>
      </c>
      <c r="N239">
        <v>-25250</v>
      </c>
      <c r="O239">
        <v>0</v>
      </c>
      <c r="P239">
        <v>-25250</v>
      </c>
      <c r="Q239">
        <v>0</v>
      </c>
      <c r="R239">
        <v>25250</v>
      </c>
      <c r="S239">
        <v>0</v>
      </c>
      <c r="T239">
        <v>0</v>
      </c>
      <c r="U239">
        <v>25250</v>
      </c>
      <c r="V239">
        <v>-50500</v>
      </c>
      <c r="X239" t="str">
        <f>VLOOKUP(Результат[[#This Row],[Тип средств]],Таблица4[],2,0)</f>
        <v>Бюджетные средства (Бюджет муниципального образования)</v>
      </c>
      <c r="Y239" t="str">
        <f>VLOOKUP(Результат[[#This Row],[Тип средств]],Таблица4[],3,0)</f>
        <v>Местный бюджет</v>
      </c>
      <c r="Z239" t="str">
        <f>IF(LEFT(Результат[[#This Row],[ЦСР]],2)="06",VLOOKUP(Результат[[#This Row],[ЦСР]],Таблица3[[ЦСР]:[Пункт подпрограммы]],4,0),"")</f>
        <v>1.1.4</v>
      </c>
      <c r="AA23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37" t="str">
        <f t="shared" si="3"/>
        <v>КФКиС</v>
      </c>
    </row>
    <row r="240" spans="1:29" x14ac:dyDescent="0.25">
      <c r="A240" t="s">
        <v>22</v>
      </c>
      <c r="B240">
        <v>1101</v>
      </c>
      <c r="C240" t="s">
        <v>41</v>
      </c>
      <c r="D240">
        <v>611</v>
      </c>
      <c r="E240">
        <v>400010</v>
      </c>
      <c r="F240">
        <v>241</v>
      </c>
      <c r="G240">
        <v>310003</v>
      </c>
      <c r="H240" t="s">
        <v>24</v>
      </c>
      <c r="J240">
        <v>120</v>
      </c>
      <c r="K240">
        <v>272042534</v>
      </c>
      <c r="L240">
        <v>-37906</v>
      </c>
      <c r="M240">
        <v>-40000</v>
      </c>
      <c r="N240">
        <v>-40000</v>
      </c>
      <c r="O240">
        <v>0</v>
      </c>
      <c r="P240">
        <v>-37906</v>
      </c>
      <c r="Q240">
        <v>0</v>
      </c>
      <c r="R240">
        <v>37906</v>
      </c>
      <c r="S240">
        <v>0</v>
      </c>
      <c r="T240">
        <v>0</v>
      </c>
      <c r="U240">
        <v>37906</v>
      </c>
      <c r="V240">
        <v>-75812</v>
      </c>
      <c r="X240" t="str">
        <f>VLOOKUP(Результат[[#This Row],[Тип средств]],Таблица4[],2,0)</f>
        <v>Бюджетные средства (Бюджет муниципального образования)</v>
      </c>
      <c r="Y240" t="str">
        <f>VLOOKUP(Результат[[#This Row],[Тип средств]],Таблица4[],3,0)</f>
        <v>Местный бюджет</v>
      </c>
      <c r="Z240" t="str">
        <f>IF(LEFT(Результат[[#This Row],[ЦСР]],2)="06",VLOOKUP(Результат[[#This Row],[ЦСР]],Таблица3[[ЦСР]:[Пункт подпрограммы]],4,0),"")</f>
        <v>1.1.4</v>
      </c>
      <c r="AA24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37" t="str">
        <f t="shared" si="3"/>
        <v>КФКиС</v>
      </c>
    </row>
    <row r="241" spans="1:29" x14ac:dyDescent="0.25">
      <c r="A241" t="s">
        <v>22</v>
      </c>
      <c r="B241">
        <v>1101</v>
      </c>
      <c r="C241" t="s">
        <v>41</v>
      </c>
      <c r="D241">
        <v>611</v>
      </c>
      <c r="E241">
        <v>400010</v>
      </c>
      <c r="F241">
        <v>241</v>
      </c>
      <c r="G241">
        <v>345001</v>
      </c>
      <c r="H241" t="s">
        <v>29</v>
      </c>
      <c r="J241">
        <v>120</v>
      </c>
      <c r="K241">
        <v>272042534</v>
      </c>
      <c r="L241">
        <v>-27500</v>
      </c>
      <c r="M241">
        <v>-27500</v>
      </c>
      <c r="N241">
        <v>-27500</v>
      </c>
      <c r="O241">
        <v>0</v>
      </c>
      <c r="P241">
        <v>-27500</v>
      </c>
      <c r="Q241">
        <v>0</v>
      </c>
      <c r="R241">
        <v>27500</v>
      </c>
      <c r="S241">
        <v>0</v>
      </c>
      <c r="T241">
        <v>0</v>
      </c>
      <c r="U241">
        <v>27500</v>
      </c>
      <c r="V241">
        <v>-55000</v>
      </c>
      <c r="X241" t="str">
        <f>VLOOKUP(Результат[[#This Row],[Тип средств]],Таблица4[],2,0)</f>
        <v>Бюджетные средства (Бюджет муниципального образования)</v>
      </c>
      <c r="Y241" t="str">
        <f>VLOOKUP(Результат[[#This Row],[Тип средств]],Таблица4[],3,0)</f>
        <v>Местный бюджет</v>
      </c>
      <c r="Z241" t="str">
        <f>IF(LEFT(Результат[[#This Row],[ЦСР]],2)="06",VLOOKUP(Результат[[#This Row],[ЦСР]],Таблица3[[ЦСР]:[Пункт подпрограммы]],4,0),"")</f>
        <v>1.1.4</v>
      </c>
      <c r="AA24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37" t="str">
        <f t="shared" si="3"/>
        <v>КФКиС</v>
      </c>
    </row>
    <row r="242" spans="1:29" x14ac:dyDescent="0.25">
      <c r="A242" t="s">
        <v>22</v>
      </c>
      <c r="B242">
        <v>1101</v>
      </c>
      <c r="C242" t="s">
        <v>41</v>
      </c>
      <c r="D242">
        <v>611</v>
      </c>
      <c r="E242">
        <v>400010</v>
      </c>
      <c r="F242">
        <v>241</v>
      </c>
      <c r="G242">
        <v>345001</v>
      </c>
      <c r="H242" t="s">
        <v>32</v>
      </c>
      <c r="J242">
        <v>120</v>
      </c>
      <c r="K242">
        <v>272042534</v>
      </c>
      <c r="L242">
        <v>-25116</v>
      </c>
      <c r="M242">
        <v>0</v>
      </c>
      <c r="N242">
        <v>0</v>
      </c>
      <c r="O242">
        <v>0</v>
      </c>
      <c r="P242">
        <v>-25116</v>
      </c>
      <c r="Q242">
        <v>0</v>
      </c>
      <c r="R242">
        <v>0</v>
      </c>
      <c r="S242">
        <v>25116</v>
      </c>
      <c r="T242">
        <v>0</v>
      </c>
      <c r="U242">
        <v>25116</v>
      </c>
      <c r="V242">
        <v>-50232</v>
      </c>
      <c r="X242" t="str">
        <f>VLOOKUP(Результат[[#This Row],[Тип средств]],Таблица4[],2,0)</f>
        <v>Бюджетные средства (Бюджет муниципального образования)</v>
      </c>
      <c r="Y242" t="str">
        <f>VLOOKUP(Результат[[#This Row],[Тип средств]],Таблица4[],3,0)</f>
        <v>Местный бюджет</v>
      </c>
      <c r="Z242" t="str">
        <f>IF(LEFT(Результат[[#This Row],[ЦСР]],2)="06",VLOOKUP(Результат[[#This Row],[ЦСР]],Таблица3[[ЦСР]:[Пункт подпрограммы]],4,0),"")</f>
        <v>1.1.4</v>
      </c>
      <c r="AA24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37" t="str">
        <f t="shared" si="3"/>
        <v>КФКиС</v>
      </c>
    </row>
    <row r="243" spans="1:29" x14ac:dyDescent="0.25">
      <c r="A243" t="s">
        <v>22</v>
      </c>
      <c r="B243">
        <v>1101</v>
      </c>
      <c r="C243" t="s">
        <v>41</v>
      </c>
      <c r="D243">
        <v>611</v>
      </c>
      <c r="E243">
        <v>400010</v>
      </c>
      <c r="F243">
        <v>241</v>
      </c>
      <c r="G243">
        <v>346001</v>
      </c>
      <c r="H243" t="s">
        <v>29</v>
      </c>
      <c r="J243">
        <v>120</v>
      </c>
      <c r="K243">
        <v>272042534</v>
      </c>
      <c r="L243">
        <v>-5250</v>
      </c>
      <c r="M243">
        <v>-5250</v>
      </c>
      <c r="N243">
        <v>-5250</v>
      </c>
      <c r="O243">
        <v>0</v>
      </c>
      <c r="P243">
        <v>-5250</v>
      </c>
      <c r="Q243">
        <v>0</v>
      </c>
      <c r="R243">
        <v>5250</v>
      </c>
      <c r="S243">
        <v>0</v>
      </c>
      <c r="T243">
        <v>0</v>
      </c>
      <c r="U243">
        <v>5250</v>
      </c>
      <c r="V243">
        <v>-10500</v>
      </c>
      <c r="X243" t="str">
        <f>VLOOKUP(Результат[[#This Row],[Тип средств]],Таблица4[],2,0)</f>
        <v>Бюджетные средства (Бюджет муниципального образования)</v>
      </c>
      <c r="Y243" t="str">
        <f>VLOOKUP(Результат[[#This Row],[Тип средств]],Таблица4[],3,0)</f>
        <v>Местный бюджет</v>
      </c>
      <c r="Z243" t="str">
        <f>IF(LEFT(Результат[[#This Row],[ЦСР]],2)="06",VLOOKUP(Результат[[#This Row],[ЦСР]],Таблица3[[ЦСР]:[Пункт подпрограммы]],4,0),"")</f>
        <v>1.1.4</v>
      </c>
      <c r="AA24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37" t="str">
        <f t="shared" si="3"/>
        <v>КФКиС</v>
      </c>
    </row>
    <row r="244" spans="1:29" x14ac:dyDescent="0.25">
      <c r="A244" t="s">
        <v>22</v>
      </c>
      <c r="B244">
        <v>1101</v>
      </c>
      <c r="C244" t="s">
        <v>41</v>
      </c>
      <c r="D244">
        <v>621</v>
      </c>
      <c r="E244">
        <v>400010</v>
      </c>
      <c r="F244">
        <v>241</v>
      </c>
      <c r="G244">
        <v>226010</v>
      </c>
      <c r="H244" t="s">
        <v>33</v>
      </c>
      <c r="J244">
        <v>210</v>
      </c>
      <c r="K244">
        <v>272042534</v>
      </c>
      <c r="L244">
        <v>-316729</v>
      </c>
      <c r="M244">
        <v>-480205</v>
      </c>
      <c r="N244">
        <v>-633647</v>
      </c>
      <c r="O244">
        <v>0</v>
      </c>
      <c r="P244">
        <v>-316729</v>
      </c>
      <c r="Q244">
        <v>55000</v>
      </c>
      <c r="R244">
        <v>100000</v>
      </c>
      <c r="S244">
        <v>42200</v>
      </c>
      <c r="T244">
        <v>119529</v>
      </c>
      <c r="U244">
        <v>316729</v>
      </c>
      <c r="V244">
        <v>-633458</v>
      </c>
      <c r="X244" t="str">
        <f>VLOOKUP(Результат[[#This Row],[Тип средств]],Таблица4[],2,0)</f>
        <v>Бюджетные средства (Бюджет муниципального образования)</v>
      </c>
      <c r="Y244" t="str">
        <f>VLOOKUP(Результат[[#This Row],[Тип средств]],Таблица4[],3,0)</f>
        <v>Местный бюджет</v>
      </c>
      <c r="Z244" t="str">
        <f>IF(LEFT(Результат[[#This Row],[ЦСР]],2)="06",VLOOKUP(Результат[[#This Row],[ЦСР]],Таблица3[[ЦСР]:[Пункт подпрограммы]],4,0),"")</f>
        <v>1.1.4</v>
      </c>
      <c r="AA24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37" t="str">
        <f t="shared" si="3"/>
        <v>КФКиС</v>
      </c>
    </row>
    <row r="245" spans="1:29" x14ac:dyDescent="0.25">
      <c r="A245" t="s">
        <v>22</v>
      </c>
      <c r="B245">
        <v>1101</v>
      </c>
      <c r="C245" t="s">
        <v>42</v>
      </c>
      <c r="D245">
        <v>621</v>
      </c>
      <c r="E245">
        <v>400010</v>
      </c>
      <c r="F245">
        <v>241</v>
      </c>
      <c r="G245">
        <v>310003</v>
      </c>
      <c r="H245" t="s">
        <v>33</v>
      </c>
      <c r="J245">
        <v>210</v>
      </c>
      <c r="K245">
        <v>272042534</v>
      </c>
      <c r="L245">
        <v>0</v>
      </c>
      <c r="M245">
        <v>0</v>
      </c>
      <c r="N245">
        <v>0</v>
      </c>
      <c r="O245">
        <v>0</v>
      </c>
      <c r="P245">
        <v>0</v>
      </c>
      <c r="Q245">
        <v>0</v>
      </c>
      <c r="R245">
        <v>81363</v>
      </c>
      <c r="S245">
        <v>0</v>
      </c>
      <c r="T245">
        <v>0</v>
      </c>
      <c r="U245">
        <v>81363</v>
      </c>
      <c r="V245">
        <v>-81363</v>
      </c>
      <c r="X245" t="str">
        <f>VLOOKUP(Результат[[#This Row],[Тип средств]],Таблица4[],2,0)</f>
        <v>Бюджетные средства (Бюджет муниципального образования)</v>
      </c>
      <c r="Y245" t="str">
        <f>VLOOKUP(Результат[[#This Row],[Тип средств]],Таблица4[],3,0)</f>
        <v>Местный бюджет</v>
      </c>
      <c r="Z245" t="str">
        <f>IF(LEFT(Результат[[#This Row],[ЦСР]],2)="06",VLOOKUP(Результат[[#This Row],[ЦСР]],Таблица3[[ЦСР]:[Пункт подпрограммы]],4,0),"")</f>
        <v>1.1.4</v>
      </c>
      <c r="AA24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37" t="str">
        <f t="shared" si="3"/>
        <v>КФКиС</v>
      </c>
    </row>
    <row r="246" spans="1:29" x14ac:dyDescent="0.25">
      <c r="A246" t="s">
        <v>22</v>
      </c>
      <c r="B246">
        <v>1101</v>
      </c>
      <c r="C246" t="s">
        <v>43</v>
      </c>
      <c r="D246">
        <v>611</v>
      </c>
      <c r="E246">
        <v>400010</v>
      </c>
      <c r="F246">
        <v>241</v>
      </c>
      <c r="G246">
        <v>346002</v>
      </c>
      <c r="H246" t="s">
        <v>24</v>
      </c>
      <c r="J246">
        <v>120</v>
      </c>
      <c r="K246">
        <v>272042620</v>
      </c>
      <c r="L246">
        <v>0</v>
      </c>
      <c r="M246">
        <v>0</v>
      </c>
      <c r="N246">
        <v>0</v>
      </c>
      <c r="O246">
        <v>0</v>
      </c>
      <c r="P246">
        <v>0</v>
      </c>
      <c r="Q246">
        <v>0</v>
      </c>
      <c r="R246">
        <v>795000</v>
      </c>
      <c r="S246">
        <v>0</v>
      </c>
      <c r="T246">
        <v>0</v>
      </c>
      <c r="U246">
        <v>795000</v>
      </c>
      <c r="V246">
        <v>-795000</v>
      </c>
      <c r="X246" t="str">
        <f>VLOOKUP(Результат[[#This Row],[Тип средств]],Таблица4[],2,0)</f>
        <v>Бюджетные средства (Бюджет муниципального образования)</v>
      </c>
      <c r="Y246" t="str">
        <f>VLOOKUP(Результат[[#This Row],[Тип средств]],Таблица4[],3,0)</f>
        <v>Местный бюджет</v>
      </c>
      <c r="Z246" t="str">
        <f>IF(LEFT(Результат[[#This Row],[ЦСР]],2)="06",VLOOKUP(Результат[[#This Row],[ЦСР]],Таблица3[[ЦСР]:[Пункт подпрограммы]],4,0),"")</f>
        <v/>
      </c>
      <c r="AA246" t="str">
        <f>IF(LEFT(Результат[[#This Row],[Пункт подпрограммы]],1)="1","Развитие физической культуры и спорта в городе Нефтеюганске","")</f>
        <v/>
      </c>
      <c r="AB24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46" s="37" t="str">
        <f t="shared" si="3"/>
        <v>КФКиС</v>
      </c>
    </row>
    <row r="247" spans="1:29" x14ac:dyDescent="0.25">
      <c r="A247" t="s">
        <v>22</v>
      </c>
      <c r="B247">
        <v>1101</v>
      </c>
      <c r="C247" t="s">
        <v>44</v>
      </c>
      <c r="D247">
        <v>611</v>
      </c>
      <c r="E247">
        <v>400010</v>
      </c>
      <c r="F247">
        <v>241</v>
      </c>
      <c r="G247">
        <v>225010</v>
      </c>
      <c r="H247" t="s">
        <v>29</v>
      </c>
      <c r="J247">
        <v>110</v>
      </c>
      <c r="K247">
        <v>272042520</v>
      </c>
      <c r="L247">
        <v>0</v>
      </c>
      <c r="M247">
        <v>0</v>
      </c>
      <c r="N247">
        <v>0</v>
      </c>
      <c r="O247">
        <v>0</v>
      </c>
      <c r="P247">
        <v>0</v>
      </c>
      <c r="Q247">
        <v>68500</v>
      </c>
      <c r="R247">
        <v>153700</v>
      </c>
      <c r="S247">
        <v>102700</v>
      </c>
      <c r="T247">
        <v>85700</v>
      </c>
      <c r="U247">
        <v>410600</v>
      </c>
      <c r="V247">
        <v>-410600</v>
      </c>
      <c r="X247" t="str">
        <f>VLOOKUP(Результат[[#This Row],[Тип средств]],Таблица4[],2,0)</f>
        <v>Бюджетные средства (Бюджет муниципального образования)</v>
      </c>
      <c r="Y247" t="str">
        <f>VLOOKUP(Результат[[#This Row],[Тип средств]],Таблица4[],3,0)</f>
        <v>Местный бюджет</v>
      </c>
      <c r="Z247" t="str">
        <f>IF(LEFT(Результат[[#This Row],[ЦСР]],2)="06",VLOOKUP(Результат[[#This Row],[ЦСР]],Таблица3[[ЦСР]:[Пункт подпрограммы]],4,0),"")</f>
        <v/>
      </c>
      <c r="AA247" t="str">
        <f>IF(LEFT(Результат[[#This Row],[Пункт подпрограммы]],1)="1","Развитие физической культуры и спорта в городе Нефтеюганске","")</f>
        <v/>
      </c>
      <c r="AB24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47" s="37" t="str">
        <f t="shared" si="3"/>
        <v>КФКиС</v>
      </c>
    </row>
    <row r="248" spans="1:29" x14ac:dyDescent="0.25">
      <c r="A248" t="s">
        <v>22</v>
      </c>
      <c r="B248">
        <v>1101</v>
      </c>
      <c r="C248" t="s">
        <v>44</v>
      </c>
      <c r="D248">
        <v>611</v>
      </c>
      <c r="E248">
        <v>400010</v>
      </c>
      <c r="F248">
        <v>241</v>
      </c>
      <c r="G248">
        <v>225010</v>
      </c>
      <c r="H248" t="s">
        <v>31</v>
      </c>
      <c r="J248">
        <v>110</v>
      </c>
      <c r="K248">
        <v>272042520</v>
      </c>
      <c r="L248">
        <v>0</v>
      </c>
      <c r="M248">
        <v>0</v>
      </c>
      <c r="N248">
        <v>0</v>
      </c>
      <c r="O248">
        <v>0</v>
      </c>
      <c r="P248">
        <v>0</v>
      </c>
      <c r="Q248">
        <v>13374</v>
      </c>
      <c r="R248">
        <v>13374</v>
      </c>
      <c r="S248">
        <v>7656</v>
      </c>
      <c r="T248">
        <v>0</v>
      </c>
      <c r="U248">
        <v>34404</v>
      </c>
      <c r="V248">
        <v>-34404</v>
      </c>
      <c r="X248" t="str">
        <f>VLOOKUP(Результат[[#This Row],[Тип средств]],Таблица4[],2,0)</f>
        <v>Бюджетные средства (Бюджет муниципального образования)</v>
      </c>
      <c r="Y248" t="str">
        <f>VLOOKUP(Результат[[#This Row],[Тип средств]],Таблица4[],3,0)</f>
        <v>Местный бюджет</v>
      </c>
      <c r="Z248" t="str">
        <f>IF(LEFT(Результат[[#This Row],[ЦСР]],2)="06",VLOOKUP(Результат[[#This Row],[ЦСР]],Таблица3[[ЦСР]:[Пункт подпрограммы]],4,0),"")</f>
        <v/>
      </c>
      <c r="AA248" t="str">
        <f>IF(LEFT(Результат[[#This Row],[Пункт подпрограммы]],1)="1","Развитие физической культуры и спорта в городе Нефтеюганске","")</f>
        <v/>
      </c>
      <c r="AB24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48" s="37" t="str">
        <f t="shared" si="3"/>
        <v>КФКиС</v>
      </c>
    </row>
    <row r="249" spans="1:29" x14ac:dyDescent="0.25">
      <c r="A249" t="s">
        <v>22</v>
      </c>
      <c r="B249">
        <v>1101</v>
      </c>
      <c r="C249" t="s">
        <v>44</v>
      </c>
      <c r="D249">
        <v>611</v>
      </c>
      <c r="E249">
        <v>400010</v>
      </c>
      <c r="F249">
        <v>241</v>
      </c>
      <c r="G249">
        <v>225010</v>
      </c>
      <c r="H249" t="s">
        <v>24</v>
      </c>
      <c r="J249">
        <v>110</v>
      </c>
      <c r="K249">
        <v>272042520</v>
      </c>
      <c r="L249">
        <v>0</v>
      </c>
      <c r="M249">
        <v>0</v>
      </c>
      <c r="N249">
        <v>0</v>
      </c>
      <c r="O249">
        <v>0</v>
      </c>
      <c r="P249">
        <v>0</v>
      </c>
      <c r="Q249">
        <v>47000</v>
      </c>
      <c r="R249">
        <v>47000</v>
      </c>
      <c r="S249">
        <v>47000</v>
      </c>
      <c r="T249">
        <v>50403</v>
      </c>
      <c r="U249">
        <v>191403</v>
      </c>
      <c r="V249">
        <v>-191403</v>
      </c>
      <c r="X249" t="str">
        <f>VLOOKUP(Результат[[#This Row],[Тип средств]],Таблица4[],2,0)</f>
        <v>Бюджетные средства (Бюджет муниципального образования)</v>
      </c>
      <c r="Y249" t="str">
        <f>VLOOKUP(Результат[[#This Row],[Тип средств]],Таблица4[],3,0)</f>
        <v>Местный бюджет</v>
      </c>
      <c r="Z249" t="str">
        <f>IF(LEFT(Результат[[#This Row],[ЦСР]],2)="06",VLOOKUP(Результат[[#This Row],[ЦСР]],Таблица3[[ЦСР]:[Пункт подпрограммы]],4,0),"")</f>
        <v/>
      </c>
      <c r="AA249" t="str">
        <f>IF(LEFT(Результат[[#This Row],[Пункт подпрограммы]],1)="1","Развитие физической культуры и спорта в городе Нефтеюганске","")</f>
        <v/>
      </c>
      <c r="AB24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49" s="37" t="str">
        <f t="shared" si="3"/>
        <v>КФКиС</v>
      </c>
    </row>
    <row r="250" spans="1:29" x14ac:dyDescent="0.25">
      <c r="A250" t="s">
        <v>22</v>
      </c>
      <c r="B250">
        <v>1101</v>
      </c>
      <c r="C250" t="s">
        <v>44</v>
      </c>
      <c r="D250">
        <v>611</v>
      </c>
      <c r="E250">
        <v>400010</v>
      </c>
      <c r="F250">
        <v>241</v>
      </c>
      <c r="G250">
        <v>225010</v>
      </c>
      <c r="H250" t="s">
        <v>32</v>
      </c>
      <c r="J250">
        <v>110</v>
      </c>
      <c r="K250">
        <v>272042520</v>
      </c>
      <c r="L250">
        <v>0</v>
      </c>
      <c r="M250">
        <v>0</v>
      </c>
      <c r="N250">
        <v>0</v>
      </c>
      <c r="O250">
        <v>0</v>
      </c>
      <c r="P250">
        <v>0</v>
      </c>
      <c r="Q250">
        <v>32000</v>
      </c>
      <c r="R250">
        <v>48000</v>
      </c>
      <c r="S250">
        <v>16000</v>
      </c>
      <c r="T250">
        <v>0</v>
      </c>
      <c r="U250">
        <v>96000</v>
      </c>
      <c r="V250">
        <v>-96000</v>
      </c>
      <c r="X250" t="str">
        <f>VLOOKUP(Результат[[#This Row],[Тип средств]],Таблица4[],2,0)</f>
        <v>Бюджетные средства (Бюджет муниципального образования)</v>
      </c>
      <c r="Y250" t="str">
        <f>VLOOKUP(Результат[[#This Row],[Тип средств]],Таблица4[],3,0)</f>
        <v>Местный бюджет</v>
      </c>
      <c r="Z250" t="str">
        <f>IF(LEFT(Результат[[#This Row],[ЦСР]],2)="06",VLOOKUP(Результат[[#This Row],[ЦСР]],Таблица3[[ЦСР]:[Пункт подпрограммы]],4,0),"")</f>
        <v/>
      </c>
      <c r="AA250" t="str">
        <f>IF(LEFT(Результат[[#This Row],[Пункт подпрограммы]],1)="1","Развитие физической культуры и спорта в городе Нефтеюганске","")</f>
        <v/>
      </c>
      <c r="AB25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0" s="37" t="str">
        <f t="shared" si="3"/>
        <v>КФКиС</v>
      </c>
    </row>
    <row r="251" spans="1:29" x14ac:dyDescent="0.25">
      <c r="A251" t="s">
        <v>22</v>
      </c>
      <c r="B251">
        <v>1101</v>
      </c>
      <c r="C251" t="s">
        <v>44</v>
      </c>
      <c r="D251">
        <v>611</v>
      </c>
      <c r="E251">
        <v>400010</v>
      </c>
      <c r="F251">
        <v>241</v>
      </c>
      <c r="G251">
        <v>225010</v>
      </c>
      <c r="H251" t="s">
        <v>29</v>
      </c>
      <c r="J251">
        <v>120</v>
      </c>
      <c r="K251">
        <v>272042520</v>
      </c>
      <c r="L251">
        <v>0</v>
      </c>
      <c r="M251">
        <v>0</v>
      </c>
      <c r="N251">
        <v>0</v>
      </c>
      <c r="O251">
        <v>0</v>
      </c>
      <c r="P251">
        <v>0</v>
      </c>
      <c r="Q251">
        <v>0</v>
      </c>
      <c r="R251">
        <v>0</v>
      </c>
      <c r="S251">
        <v>0</v>
      </c>
      <c r="T251">
        <v>108400</v>
      </c>
      <c r="U251">
        <v>108400</v>
      </c>
      <c r="V251">
        <v>-108400</v>
      </c>
      <c r="X251" t="str">
        <f>VLOOKUP(Результат[[#This Row],[Тип средств]],Таблица4[],2,0)</f>
        <v>Бюджетные средства (Бюджет муниципального образования)</v>
      </c>
      <c r="Y251" t="str">
        <f>VLOOKUP(Результат[[#This Row],[Тип средств]],Таблица4[],3,0)</f>
        <v>Местный бюджет</v>
      </c>
      <c r="Z251" t="str">
        <f>IF(LEFT(Результат[[#This Row],[ЦСР]],2)="06",VLOOKUP(Результат[[#This Row],[ЦСР]],Таблица3[[ЦСР]:[Пункт подпрограммы]],4,0),"")</f>
        <v/>
      </c>
      <c r="AA251" t="str">
        <f>IF(LEFT(Результат[[#This Row],[Пункт подпрограммы]],1)="1","Развитие физической культуры и спорта в городе Нефтеюганске","")</f>
        <v/>
      </c>
      <c r="AB25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1" s="37" t="str">
        <f t="shared" si="3"/>
        <v>КФКиС</v>
      </c>
    </row>
    <row r="252" spans="1:29" x14ac:dyDescent="0.25">
      <c r="A252" t="s">
        <v>22</v>
      </c>
      <c r="B252">
        <v>1101</v>
      </c>
      <c r="C252" t="s">
        <v>44</v>
      </c>
      <c r="D252">
        <v>611</v>
      </c>
      <c r="E252">
        <v>400010</v>
      </c>
      <c r="F252">
        <v>241</v>
      </c>
      <c r="G252">
        <v>225010</v>
      </c>
      <c r="H252" t="s">
        <v>31</v>
      </c>
      <c r="J252">
        <v>120</v>
      </c>
      <c r="K252">
        <v>272042520</v>
      </c>
      <c r="L252">
        <v>0</v>
      </c>
      <c r="M252">
        <v>0</v>
      </c>
      <c r="N252">
        <v>0</v>
      </c>
      <c r="O252">
        <v>0</v>
      </c>
      <c r="P252">
        <v>0</v>
      </c>
      <c r="Q252">
        <v>15000</v>
      </c>
      <c r="R252">
        <v>15000</v>
      </c>
      <c r="S252">
        <v>55122</v>
      </c>
      <c r="T252">
        <v>28374</v>
      </c>
      <c r="U252">
        <v>113496</v>
      </c>
      <c r="V252">
        <v>-113496</v>
      </c>
      <c r="X252" t="str">
        <f>VLOOKUP(Результат[[#This Row],[Тип средств]],Таблица4[],2,0)</f>
        <v>Бюджетные средства (Бюджет муниципального образования)</v>
      </c>
      <c r="Y252" t="str">
        <f>VLOOKUP(Результат[[#This Row],[Тип средств]],Таблица4[],3,0)</f>
        <v>Местный бюджет</v>
      </c>
      <c r="Z252" t="str">
        <f>IF(LEFT(Результат[[#This Row],[ЦСР]],2)="06",VLOOKUP(Результат[[#This Row],[ЦСР]],Таблица3[[ЦСР]:[Пункт подпрограммы]],4,0),"")</f>
        <v/>
      </c>
      <c r="AA252" t="str">
        <f>IF(LEFT(Результат[[#This Row],[Пункт подпрограммы]],1)="1","Развитие физической культуры и спорта в городе Нефтеюганске","")</f>
        <v/>
      </c>
      <c r="AB25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2" s="37" t="str">
        <f t="shared" si="3"/>
        <v>КФКиС</v>
      </c>
    </row>
    <row r="253" spans="1:29" x14ac:dyDescent="0.25">
      <c r="A253" t="s">
        <v>22</v>
      </c>
      <c r="B253">
        <v>1101</v>
      </c>
      <c r="C253" t="s">
        <v>44</v>
      </c>
      <c r="D253">
        <v>611</v>
      </c>
      <c r="E253">
        <v>400010</v>
      </c>
      <c r="F253">
        <v>241</v>
      </c>
      <c r="G253">
        <v>225010</v>
      </c>
      <c r="H253" t="s">
        <v>24</v>
      </c>
      <c r="J253">
        <v>120</v>
      </c>
      <c r="K253">
        <v>272042520</v>
      </c>
      <c r="L253">
        <v>0</v>
      </c>
      <c r="M253">
        <v>0</v>
      </c>
      <c r="N253">
        <v>0</v>
      </c>
      <c r="O253">
        <v>0</v>
      </c>
      <c r="P253">
        <v>0</v>
      </c>
      <c r="Q253">
        <v>0</v>
      </c>
      <c r="R253">
        <v>0</v>
      </c>
      <c r="S253">
        <v>0</v>
      </c>
      <c r="T253">
        <v>62097</v>
      </c>
      <c r="U253">
        <v>62097</v>
      </c>
      <c r="V253">
        <v>-62097</v>
      </c>
      <c r="X253" t="str">
        <f>VLOOKUP(Результат[[#This Row],[Тип средств]],Таблица4[],2,0)</f>
        <v>Бюджетные средства (Бюджет муниципального образования)</v>
      </c>
      <c r="Y253" t="str">
        <f>VLOOKUP(Результат[[#This Row],[Тип средств]],Таблица4[],3,0)</f>
        <v>Местный бюджет</v>
      </c>
      <c r="Z253" t="str">
        <f>IF(LEFT(Результат[[#This Row],[ЦСР]],2)="06",VLOOKUP(Результат[[#This Row],[ЦСР]],Таблица3[[ЦСР]:[Пункт подпрограммы]],4,0),"")</f>
        <v/>
      </c>
      <c r="AA253" t="str">
        <f>IF(LEFT(Результат[[#This Row],[Пункт подпрограммы]],1)="1","Развитие физической культуры и спорта в городе Нефтеюганске","")</f>
        <v/>
      </c>
      <c r="AB25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3" s="37" t="str">
        <f t="shared" si="3"/>
        <v>КФКиС</v>
      </c>
    </row>
    <row r="254" spans="1:29" x14ac:dyDescent="0.25">
      <c r="A254" t="s">
        <v>22</v>
      </c>
      <c r="B254">
        <v>1101</v>
      </c>
      <c r="C254" t="s">
        <v>44</v>
      </c>
      <c r="D254">
        <v>611</v>
      </c>
      <c r="E254">
        <v>400010</v>
      </c>
      <c r="F254">
        <v>241</v>
      </c>
      <c r="G254">
        <v>225010</v>
      </c>
      <c r="H254" t="s">
        <v>32</v>
      </c>
      <c r="J254">
        <v>120</v>
      </c>
      <c r="K254">
        <v>272042520</v>
      </c>
      <c r="L254">
        <v>0</v>
      </c>
      <c r="M254">
        <v>0</v>
      </c>
      <c r="N254">
        <v>0</v>
      </c>
      <c r="O254">
        <v>0</v>
      </c>
      <c r="P254">
        <v>0</v>
      </c>
      <c r="Q254">
        <v>5600</v>
      </c>
      <c r="R254">
        <v>5600</v>
      </c>
      <c r="S254">
        <v>37600</v>
      </c>
      <c r="T254">
        <v>45897</v>
      </c>
      <c r="U254">
        <v>94697</v>
      </c>
      <c r="V254">
        <v>-94697</v>
      </c>
      <c r="X254" t="str">
        <f>VLOOKUP(Результат[[#This Row],[Тип средств]],Таблица4[],2,0)</f>
        <v>Бюджетные средства (Бюджет муниципального образования)</v>
      </c>
      <c r="Y254" t="str">
        <f>VLOOKUP(Результат[[#This Row],[Тип средств]],Таблица4[],3,0)</f>
        <v>Местный бюджет</v>
      </c>
      <c r="Z254" t="str">
        <f>IF(LEFT(Результат[[#This Row],[ЦСР]],2)="06",VLOOKUP(Результат[[#This Row],[ЦСР]],Таблица3[[ЦСР]:[Пункт подпрограммы]],4,0),"")</f>
        <v/>
      </c>
      <c r="AA254" t="str">
        <f>IF(LEFT(Результат[[#This Row],[Пункт подпрограммы]],1)="1","Развитие физической культуры и спорта в городе Нефтеюганске","")</f>
        <v/>
      </c>
      <c r="AB25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4" s="37" t="str">
        <f t="shared" si="3"/>
        <v>КФКиС</v>
      </c>
    </row>
    <row r="255" spans="1:29" x14ac:dyDescent="0.25">
      <c r="A255" t="s">
        <v>22</v>
      </c>
      <c r="B255">
        <v>1101</v>
      </c>
      <c r="C255" t="s">
        <v>44</v>
      </c>
      <c r="D255">
        <v>611</v>
      </c>
      <c r="E255">
        <v>400010</v>
      </c>
      <c r="F255">
        <v>241</v>
      </c>
      <c r="G255">
        <v>310001</v>
      </c>
      <c r="H255" t="s">
        <v>32</v>
      </c>
      <c r="J255">
        <v>120</v>
      </c>
      <c r="K255">
        <v>272042520</v>
      </c>
      <c r="L255">
        <v>0</v>
      </c>
      <c r="M255">
        <v>0</v>
      </c>
      <c r="N255">
        <v>0</v>
      </c>
      <c r="O255">
        <v>0</v>
      </c>
      <c r="P255">
        <v>0</v>
      </c>
      <c r="Q255">
        <v>0</v>
      </c>
      <c r="R255">
        <v>0</v>
      </c>
      <c r="S255">
        <v>9000</v>
      </c>
      <c r="T255">
        <v>0</v>
      </c>
      <c r="U255">
        <v>9000</v>
      </c>
      <c r="V255">
        <v>-9000</v>
      </c>
      <c r="X255" t="str">
        <f>VLOOKUP(Результат[[#This Row],[Тип средств]],Таблица4[],2,0)</f>
        <v>Бюджетные средства (Бюджет муниципального образования)</v>
      </c>
      <c r="Y255" t="str">
        <f>VLOOKUP(Результат[[#This Row],[Тип средств]],Таблица4[],3,0)</f>
        <v>Местный бюджет</v>
      </c>
      <c r="Z255" t="str">
        <f>IF(LEFT(Результат[[#This Row],[ЦСР]],2)="06",VLOOKUP(Результат[[#This Row],[ЦСР]],Таблица3[[ЦСР]:[Пункт подпрограммы]],4,0),"")</f>
        <v/>
      </c>
      <c r="AA255" t="str">
        <f>IF(LEFT(Результат[[#This Row],[Пункт подпрограммы]],1)="1","Развитие физической культуры и спорта в городе Нефтеюганске","")</f>
        <v/>
      </c>
      <c r="AB25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5" s="37" t="str">
        <f t="shared" si="3"/>
        <v>КФКиС</v>
      </c>
    </row>
    <row r="256" spans="1:29" x14ac:dyDescent="0.25">
      <c r="A256" t="s">
        <v>22</v>
      </c>
      <c r="B256">
        <v>1101</v>
      </c>
      <c r="C256" t="s">
        <v>44</v>
      </c>
      <c r="D256">
        <v>621</v>
      </c>
      <c r="E256">
        <v>400010</v>
      </c>
      <c r="F256">
        <v>241</v>
      </c>
      <c r="G256">
        <v>225010</v>
      </c>
      <c r="H256" t="s">
        <v>33</v>
      </c>
      <c r="J256">
        <v>210</v>
      </c>
      <c r="K256">
        <v>272042520</v>
      </c>
      <c r="L256">
        <v>0</v>
      </c>
      <c r="M256">
        <v>0</v>
      </c>
      <c r="N256">
        <v>0</v>
      </c>
      <c r="O256">
        <v>0</v>
      </c>
      <c r="P256">
        <v>0</v>
      </c>
      <c r="Q256">
        <v>20000</v>
      </c>
      <c r="R256">
        <v>90000</v>
      </c>
      <c r="S256">
        <v>80000</v>
      </c>
      <c r="T256">
        <v>63103</v>
      </c>
      <c r="U256">
        <v>253103</v>
      </c>
      <c r="V256">
        <v>-253103</v>
      </c>
      <c r="X256" t="str">
        <f>VLOOKUP(Результат[[#This Row],[Тип средств]],Таблица4[],2,0)</f>
        <v>Бюджетные средства (Бюджет муниципального образования)</v>
      </c>
      <c r="Y256" t="str">
        <f>VLOOKUP(Результат[[#This Row],[Тип средств]],Таблица4[],3,0)</f>
        <v>Местный бюджет</v>
      </c>
      <c r="Z256" t="str">
        <f>IF(LEFT(Результат[[#This Row],[ЦСР]],2)="06",VLOOKUP(Результат[[#This Row],[ЦСР]],Таблица3[[ЦСР]:[Пункт подпрограммы]],4,0),"")</f>
        <v/>
      </c>
      <c r="AA256" t="str">
        <f>IF(LEFT(Результат[[#This Row],[Пункт подпрограммы]],1)="1","Развитие физической культуры и спорта в городе Нефтеюганске","")</f>
        <v/>
      </c>
      <c r="AB25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6" s="37" t="str">
        <f t="shared" si="3"/>
        <v>КФКиС</v>
      </c>
    </row>
    <row r="257" spans="1:29" x14ac:dyDescent="0.25">
      <c r="A257" t="s">
        <v>22</v>
      </c>
      <c r="B257">
        <v>1101</v>
      </c>
      <c r="C257" t="s">
        <v>45</v>
      </c>
      <c r="D257">
        <v>621</v>
      </c>
      <c r="E257">
        <v>400010</v>
      </c>
      <c r="F257">
        <v>241</v>
      </c>
      <c r="G257">
        <v>346001</v>
      </c>
      <c r="H257" t="s">
        <v>33</v>
      </c>
      <c r="J257">
        <v>210</v>
      </c>
      <c r="K257">
        <v>272042534</v>
      </c>
      <c r="L257">
        <v>0</v>
      </c>
      <c r="M257">
        <v>0</v>
      </c>
      <c r="N257">
        <v>0</v>
      </c>
      <c r="O257">
        <v>0</v>
      </c>
      <c r="P257">
        <v>0</v>
      </c>
      <c r="Q257">
        <v>0</v>
      </c>
      <c r="R257">
        <v>104300</v>
      </c>
      <c r="S257">
        <v>0</v>
      </c>
      <c r="T257">
        <v>0</v>
      </c>
      <c r="U257">
        <v>104300</v>
      </c>
      <c r="V257">
        <v>-104300</v>
      </c>
      <c r="X257" t="str">
        <f>VLOOKUP(Результат[[#This Row],[Тип средств]],Таблица4[],2,0)</f>
        <v>Бюджетные средства (Бюджет муниципального образования)</v>
      </c>
      <c r="Y257" t="str">
        <f>VLOOKUP(Результат[[#This Row],[Тип средств]],Таблица4[],3,0)</f>
        <v>Местный бюджет</v>
      </c>
      <c r="Z257" t="str">
        <f>IF(LEFT(Результат[[#This Row],[ЦСР]],2)="06",VLOOKUP(Результат[[#This Row],[ЦСР]],Таблица3[[ЦСР]:[Пункт подпрограммы]],4,0),"")</f>
        <v/>
      </c>
      <c r="AA257" t="str">
        <f>IF(LEFT(Результат[[#This Row],[Пункт подпрограммы]],1)="1","Развитие физической культуры и спорта в городе Нефтеюганске","")</f>
        <v/>
      </c>
      <c r="AB25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7" s="37" t="str">
        <f t="shared" si="3"/>
        <v>КФКиС</v>
      </c>
    </row>
    <row r="258" spans="1:29" x14ac:dyDescent="0.25">
      <c r="A258" t="s">
        <v>22</v>
      </c>
      <c r="B258">
        <v>1101</v>
      </c>
      <c r="C258" t="s">
        <v>46</v>
      </c>
      <c r="D258">
        <v>611</v>
      </c>
      <c r="E258">
        <v>400010</v>
      </c>
      <c r="F258">
        <v>241</v>
      </c>
      <c r="G258">
        <v>310003</v>
      </c>
      <c r="H258" t="s">
        <v>29</v>
      </c>
      <c r="J258">
        <v>120</v>
      </c>
      <c r="K258">
        <v>272042515</v>
      </c>
      <c r="L258">
        <v>0</v>
      </c>
      <c r="M258">
        <v>0</v>
      </c>
      <c r="N258">
        <v>0</v>
      </c>
      <c r="O258">
        <v>0</v>
      </c>
      <c r="P258">
        <v>0</v>
      </c>
      <c r="Q258">
        <v>0</v>
      </c>
      <c r="R258">
        <v>480000</v>
      </c>
      <c r="S258">
        <v>0</v>
      </c>
      <c r="T258">
        <v>0</v>
      </c>
      <c r="U258">
        <v>480000</v>
      </c>
      <c r="V258">
        <v>-480000</v>
      </c>
      <c r="X258" t="str">
        <f>VLOOKUP(Результат[[#This Row],[Тип средств]],Таблица4[],2,0)</f>
        <v>Бюджетные средства (Бюджет муниципального образования)</v>
      </c>
      <c r="Y258" t="str">
        <f>VLOOKUP(Результат[[#This Row],[Тип средств]],Таблица4[],3,0)</f>
        <v>Местный бюджет</v>
      </c>
      <c r="Z258" t="str">
        <f>IF(LEFT(Результат[[#This Row],[ЦСР]],2)="06",VLOOKUP(Результат[[#This Row],[ЦСР]],Таблица3[[ЦСР]:[Пункт подпрограммы]],4,0),"")</f>
        <v/>
      </c>
      <c r="AA258" t="str">
        <f>IF(LEFT(Результат[[#This Row],[Пункт подпрограммы]],1)="1","Развитие физической культуры и спорта в городе Нефтеюганске","")</f>
        <v/>
      </c>
      <c r="AB25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58" s="37" t="str">
        <f t="shared" si="3"/>
        <v>КФКиС</v>
      </c>
    </row>
    <row r="259" spans="1:29" x14ac:dyDescent="0.25">
      <c r="A259" t="s">
        <v>22</v>
      </c>
      <c r="B259">
        <v>1102</v>
      </c>
      <c r="C259" t="s">
        <v>47</v>
      </c>
      <c r="D259">
        <v>611</v>
      </c>
      <c r="E259">
        <v>400010</v>
      </c>
      <c r="F259">
        <v>241</v>
      </c>
      <c r="G259">
        <v>212002</v>
      </c>
      <c r="H259" t="s">
        <v>32</v>
      </c>
      <c r="J259">
        <v>910</v>
      </c>
      <c r="K259">
        <v>272042535</v>
      </c>
      <c r="L259">
        <v>0</v>
      </c>
      <c r="M259">
        <v>0</v>
      </c>
      <c r="N259">
        <v>0</v>
      </c>
      <c r="O259">
        <v>0</v>
      </c>
      <c r="P259">
        <v>0</v>
      </c>
      <c r="Q259">
        <v>1800</v>
      </c>
      <c r="R259">
        <v>1200</v>
      </c>
      <c r="S259">
        <v>0</v>
      </c>
      <c r="T259">
        <v>0</v>
      </c>
      <c r="U259">
        <v>3000</v>
      </c>
      <c r="V259">
        <v>-3000</v>
      </c>
      <c r="X259" t="str">
        <f>VLOOKUP(Результат[[#This Row],[Тип средств]],Таблица4[],2,0)</f>
        <v>Бюджетные средства (Бюджет муниципального образования)</v>
      </c>
      <c r="Y259" t="str">
        <f>VLOOKUP(Результат[[#This Row],[Тип средств]],Таблица4[],3,0)</f>
        <v>Местный бюджет</v>
      </c>
      <c r="Z259" t="str">
        <f>IF(LEFT(Результат[[#This Row],[ЦСР]],2)="06",VLOOKUP(Результат[[#This Row],[ЦСР]],Таблица3[[ЦСР]:[Пункт подпрограммы]],4,0),"")</f>
        <v>1.1.1</v>
      </c>
      <c r="AA25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37" t="str">
        <f t="shared" si="3"/>
        <v>КФКиС</v>
      </c>
    </row>
    <row r="260" spans="1:29" x14ac:dyDescent="0.25">
      <c r="A260" t="s">
        <v>22</v>
      </c>
      <c r="B260">
        <v>1102</v>
      </c>
      <c r="C260" t="s">
        <v>47</v>
      </c>
      <c r="D260">
        <v>611</v>
      </c>
      <c r="E260">
        <v>400010</v>
      </c>
      <c r="F260">
        <v>241</v>
      </c>
      <c r="G260">
        <v>226002</v>
      </c>
      <c r="H260" t="s">
        <v>32</v>
      </c>
      <c r="J260">
        <v>910</v>
      </c>
      <c r="K260">
        <v>272042535</v>
      </c>
      <c r="L260">
        <v>0</v>
      </c>
      <c r="M260">
        <v>0</v>
      </c>
      <c r="N260">
        <v>0</v>
      </c>
      <c r="O260">
        <v>0</v>
      </c>
      <c r="P260">
        <v>0</v>
      </c>
      <c r="Q260">
        <v>1315132</v>
      </c>
      <c r="R260">
        <v>2052738</v>
      </c>
      <c r="S260">
        <v>803281</v>
      </c>
      <c r="T260">
        <v>956400</v>
      </c>
      <c r="U260">
        <v>5127551</v>
      </c>
      <c r="V260">
        <v>-5127551</v>
      </c>
      <c r="X260" t="str">
        <f>VLOOKUP(Результат[[#This Row],[Тип средств]],Таблица4[],2,0)</f>
        <v>Бюджетные средства (Бюджет муниципального образования)</v>
      </c>
      <c r="Y260" t="str">
        <f>VLOOKUP(Результат[[#This Row],[Тип средств]],Таблица4[],3,0)</f>
        <v>Местный бюджет</v>
      </c>
      <c r="Z260" t="str">
        <f>IF(LEFT(Результат[[#This Row],[ЦСР]],2)="06",VLOOKUP(Результат[[#This Row],[ЦСР]],Таблица3[[ЦСР]:[Пункт подпрограммы]],4,0),"")</f>
        <v>1.1.1</v>
      </c>
      <c r="AA26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37" t="str">
        <f t="shared" si="3"/>
        <v>КФКиС</v>
      </c>
    </row>
    <row r="261" spans="1:29" x14ac:dyDescent="0.25">
      <c r="A261" t="s">
        <v>22</v>
      </c>
      <c r="B261">
        <v>1102</v>
      </c>
      <c r="C261" t="s">
        <v>47</v>
      </c>
      <c r="D261">
        <v>611</v>
      </c>
      <c r="E261">
        <v>400010</v>
      </c>
      <c r="F261">
        <v>241</v>
      </c>
      <c r="G261">
        <v>346001</v>
      </c>
      <c r="H261" t="s">
        <v>32</v>
      </c>
      <c r="J261">
        <v>120</v>
      </c>
      <c r="K261">
        <v>272042535</v>
      </c>
      <c r="L261">
        <v>0</v>
      </c>
      <c r="M261">
        <v>0</v>
      </c>
      <c r="N261">
        <v>0</v>
      </c>
      <c r="O261">
        <v>0</v>
      </c>
      <c r="P261">
        <v>0</v>
      </c>
      <c r="Q261">
        <v>58000</v>
      </c>
      <c r="R261">
        <v>5000</v>
      </c>
      <c r="S261">
        <v>3000</v>
      </c>
      <c r="T261">
        <v>3000</v>
      </c>
      <c r="U261">
        <v>69000</v>
      </c>
      <c r="V261">
        <v>-69000</v>
      </c>
      <c r="X261" t="str">
        <f>VLOOKUP(Результат[[#This Row],[Тип средств]],Таблица4[],2,0)</f>
        <v>Бюджетные средства (Бюджет муниципального образования)</v>
      </c>
      <c r="Y261" t="str">
        <f>VLOOKUP(Результат[[#This Row],[Тип средств]],Таблица4[],3,0)</f>
        <v>Местный бюджет</v>
      </c>
      <c r="Z261" t="str">
        <f>IF(LEFT(Результат[[#This Row],[ЦСР]],2)="06",VLOOKUP(Результат[[#This Row],[ЦСР]],Таблица3[[ЦСР]:[Пункт подпрограммы]],4,0),"")</f>
        <v>1.1.1</v>
      </c>
      <c r="AA26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37" t="str">
        <f t="shared" si="3"/>
        <v>КФКиС</v>
      </c>
    </row>
    <row r="262" spans="1:29" x14ac:dyDescent="0.25">
      <c r="A262" t="s">
        <v>22</v>
      </c>
      <c r="B262">
        <v>1102</v>
      </c>
      <c r="C262" t="s">
        <v>47</v>
      </c>
      <c r="D262">
        <v>611</v>
      </c>
      <c r="E262">
        <v>400010</v>
      </c>
      <c r="F262">
        <v>241</v>
      </c>
      <c r="G262">
        <v>349002</v>
      </c>
      <c r="H262" t="s">
        <v>32</v>
      </c>
      <c r="J262">
        <v>120</v>
      </c>
      <c r="K262">
        <v>272042535</v>
      </c>
      <c r="L262">
        <v>0</v>
      </c>
      <c r="M262">
        <v>0</v>
      </c>
      <c r="N262">
        <v>0</v>
      </c>
      <c r="O262">
        <v>0</v>
      </c>
      <c r="P262">
        <v>0</v>
      </c>
      <c r="Q262">
        <v>807790</v>
      </c>
      <c r="R262">
        <v>283590</v>
      </c>
      <c r="S262">
        <v>253940</v>
      </c>
      <c r="T262">
        <v>23820</v>
      </c>
      <c r="U262">
        <v>1369140</v>
      </c>
      <c r="V262">
        <v>-1369140</v>
      </c>
      <c r="X262" t="str">
        <f>VLOOKUP(Результат[[#This Row],[Тип средств]],Таблица4[],2,0)</f>
        <v>Бюджетные средства (Бюджет муниципального образования)</v>
      </c>
      <c r="Y262" t="str">
        <f>VLOOKUP(Результат[[#This Row],[Тип средств]],Таблица4[],3,0)</f>
        <v>Местный бюджет</v>
      </c>
      <c r="Z262" t="str">
        <f>IF(LEFT(Результат[[#This Row],[ЦСР]],2)="06",VLOOKUP(Результат[[#This Row],[ЦСР]],Таблица3[[ЦСР]:[Пункт подпрограммы]],4,0),"")</f>
        <v>1.1.1</v>
      </c>
      <c r="AA26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37" t="str">
        <f t="shared" ref="AC262:AC295" si="4">"КФКиС"</f>
        <v>КФКиС</v>
      </c>
    </row>
    <row r="263" spans="1:29" x14ac:dyDescent="0.25">
      <c r="A263" t="s">
        <v>22</v>
      </c>
      <c r="B263">
        <v>1102</v>
      </c>
      <c r="C263" t="s">
        <v>48</v>
      </c>
      <c r="D263">
        <v>611</v>
      </c>
      <c r="E263">
        <v>400010</v>
      </c>
      <c r="F263">
        <v>241</v>
      </c>
      <c r="G263">
        <v>226010</v>
      </c>
      <c r="H263" t="s">
        <v>32</v>
      </c>
      <c r="J263">
        <v>120</v>
      </c>
      <c r="K263">
        <v>272042715</v>
      </c>
      <c r="L263">
        <v>0</v>
      </c>
      <c r="M263">
        <v>0</v>
      </c>
      <c r="N263">
        <v>0</v>
      </c>
      <c r="O263">
        <v>0</v>
      </c>
      <c r="P263">
        <v>0</v>
      </c>
      <c r="Q263">
        <v>0</v>
      </c>
      <c r="R263">
        <v>0</v>
      </c>
      <c r="S263">
        <v>12657</v>
      </c>
      <c r="T263">
        <v>0</v>
      </c>
      <c r="U263">
        <v>12657</v>
      </c>
      <c r="V263">
        <v>-12657</v>
      </c>
      <c r="X263" t="str">
        <f>VLOOKUP(Результат[[#This Row],[Тип средств]],Таблица4[],2,0)</f>
        <v>Бюджетные средства (Бюджет муниципального образования)</v>
      </c>
      <c r="Y263" t="str">
        <f>VLOOKUP(Результат[[#This Row],[Тип средств]],Таблица4[],3,0)</f>
        <v>Местный бюджет</v>
      </c>
      <c r="Z263" t="str">
        <f>IF(LEFT(Результат[[#This Row],[ЦСР]],2)="06",VLOOKUP(Результат[[#This Row],[ЦСР]],Таблица3[[ЦСР]:[Пункт подпрограммы]],4,0),"")</f>
        <v/>
      </c>
      <c r="AA263" t="str">
        <f>IF(LEFT(Результат[[#This Row],[Пункт подпрограммы]],1)="1","Развитие физической культуры и спорта в городе Нефтеюганске","")</f>
        <v/>
      </c>
      <c r="AB26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3" s="37" t="str">
        <f t="shared" si="4"/>
        <v>КФКиС</v>
      </c>
    </row>
    <row r="264" spans="1:29" x14ac:dyDescent="0.25">
      <c r="A264" t="s">
        <v>22</v>
      </c>
      <c r="B264">
        <v>1102</v>
      </c>
      <c r="C264" t="s">
        <v>48</v>
      </c>
      <c r="D264">
        <v>611</v>
      </c>
      <c r="E264">
        <v>400010</v>
      </c>
      <c r="F264">
        <v>241</v>
      </c>
      <c r="G264">
        <v>349001</v>
      </c>
      <c r="H264" t="s">
        <v>32</v>
      </c>
      <c r="J264">
        <v>120</v>
      </c>
      <c r="K264">
        <v>272042715</v>
      </c>
      <c r="L264">
        <v>0</v>
      </c>
      <c r="M264">
        <v>0</v>
      </c>
      <c r="N264">
        <v>0</v>
      </c>
      <c r="O264">
        <v>0</v>
      </c>
      <c r="P264">
        <v>0</v>
      </c>
      <c r="Q264">
        <v>0</v>
      </c>
      <c r="R264">
        <v>0</v>
      </c>
      <c r="S264">
        <v>7500</v>
      </c>
      <c r="T264">
        <v>0</v>
      </c>
      <c r="U264">
        <v>7500</v>
      </c>
      <c r="V264">
        <v>-7500</v>
      </c>
      <c r="X264" t="str">
        <f>VLOOKUP(Результат[[#This Row],[Тип средств]],Таблица4[],2,0)</f>
        <v>Бюджетные средства (Бюджет муниципального образования)</v>
      </c>
      <c r="Y264" t="str">
        <f>VLOOKUP(Результат[[#This Row],[Тип средств]],Таблица4[],3,0)</f>
        <v>Местный бюджет</v>
      </c>
      <c r="Z264" t="str">
        <f>IF(LEFT(Результат[[#This Row],[ЦСР]],2)="06",VLOOKUP(Результат[[#This Row],[ЦСР]],Таблица3[[ЦСР]:[Пункт подпрограммы]],4,0),"")</f>
        <v/>
      </c>
      <c r="AA264" t="str">
        <f>IF(LEFT(Результат[[#This Row],[Пункт подпрограммы]],1)="1","Развитие физической культуры и спорта в городе Нефтеюганске","")</f>
        <v/>
      </c>
      <c r="AB26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4" s="37" t="str">
        <f t="shared" si="4"/>
        <v>КФКиС</v>
      </c>
    </row>
    <row r="265" spans="1:29" x14ac:dyDescent="0.25">
      <c r="A265" t="s">
        <v>22</v>
      </c>
      <c r="B265">
        <v>1102</v>
      </c>
      <c r="C265" t="s">
        <v>48</v>
      </c>
      <c r="D265">
        <v>611</v>
      </c>
      <c r="E265">
        <v>400010</v>
      </c>
      <c r="F265">
        <v>241</v>
      </c>
      <c r="G265">
        <v>349007</v>
      </c>
      <c r="H265" t="s">
        <v>32</v>
      </c>
      <c r="J265">
        <v>120</v>
      </c>
      <c r="K265">
        <v>272042715</v>
      </c>
      <c r="L265">
        <v>0</v>
      </c>
      <c r="M265">
        <v>0</v>
      </c>
      <c r="N265">
        <v>0</v>
      </c>
      <c r="O265">
        <v>0</v>
      </c>
      <c r="P265">
        <v>0</v>
      </c>
      <c r="Q265">
        <v>0</v>
      </c>
      <c r="R265">
        <v>101100</v>
      </c>
      <c r="S265">
        <v>0</v>
      </c>
      <c r="T265">
        <v>0</v>
      </c>
      <c r="U265">
        <v>101100</v>
      </c>
      <c r="V265">
        <v>-101100</v>
      </c>
      <c r="X265" t="str">
        <f>VLOOKUP(Результат[[#This Row],[Тип средств]],Таблица4[],2,0)</f>
        <v>Бюджетные средства (Бюджет муниципального образования)</v>
      </c>
      <c r="Y265" t="str">
        <f>VLOOKUP(Результат[[#This Row],[Тип средств]],Таблица4[],3,0)</f>
        <v>Местный бюджет</v>
      </c>
      <c r="Z265" t="str">
        <f>IF(LEFT(Результат[[#This Row],[ЦСР]],2)="06",VLOOKUP(Результат[[#This Row],[ЦСР]],Таблица3[[ЦСР]:[Пункт подпрограммы]],4,0),"")</f>
        <v/>
      </c>
      <c r="AA265" t="str">
        <f>IF(LEFT(Результат[[#This Row],[Пункт подпрограммы]],1)="1","Развитие физической культуры и спорта в городе Нефтеюганске","")</f>
        <v/>
      </c>
      <c r="AB26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37" t="str">
        <f t="shared" si="4"/>
        <v>КФКиС</v>
      </c>
    </row>
    <row r="266" spans="1:29" x14ac:dyDescent="0.25">
      <c r="A266" t="s">
        <v>22</v>
      </c>
      <c r="B266">
        <v>1103</v>
      </c>
      <c r="C266" t="s">
        <v>41</v>
      </c>
      <c r="D266">
        <v>611</v>
      </c>
      <c r="E266">
        <v>400010</v>
      </c>
      <c r="F266">
        <v>241</v>
      </c>
      <c r="G266">
        <v>226010</v>
      </c>
      <c r="H266" t="s">
        <v>29</v>
      </c>
      <c r="J266">
        <v>120</v>
      </c>
      <c r="K266">
        <v>272042534</v>
      </c>
      <c r="L266">
        <v>229574</v>
      </c>
      <c r="M266">
        <v>275490</v>
      </c>
      <c r="N266">
        <v>298448</v>
      </c>
      <c r="O266">
        <v>0</v>
      </c>
      <c r="P266">
        <v>229574</v>
      </c>
      <c r="Q266">
        <v>0</v>
      </c>
      <c r="R266">
        <v>0</v>
      </c>
      <c r="S266">
        <v>0</v>
      </c>
      <c r="T266">
        <v>0</v>
      </c>
      <c r="U266">
        <v>0</v>
      </c>
      <c r="V266">
        <v>229574</v>
      </c>
      <c r="X266" t="str">
        <f>VLOOKUP(Результат[[#This Row],[Тип средств]],Таблица4[],2,0)</f>
        <v>Бюджетные средства (Бюджет муниципального образования)</v>
      </c>
      <c r="Y266" t="str">
        <f>VLOOKUP(Результат[[#This Row],[Тип средств]],Таблица4[],3,0)</f>
        <v>Местный бюджет</v>
      </c>
      <c r="Z266" t="str">
        <f>IF(LEFT(Результат[[#This Row],[ЦСР]],2)="06",VLOOKUP(Результат[[#This Row],[ЦСР]],Таблица3[[ЦСР]:[Пункт подпрограммы]],4,0),"")</f>
        <v>1.1.4</v>
      </c>
      <c r="AA26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6" s="37" t="str">
        <f t="shared" si="4"/>
        <v>КФКиС</v>
      </c>
    </row>
    <row r="267" spans="1:29" x14ac:dyDescent="0.25">
      <c r="A267" t="s">
        <v>22</v>
      </c>
      <c r="B267">
        <v>1103</v>
      </c>
      <c r="C267" t="s">
        <v>41</v>
      </c>
      <c r="D267">
        <v>611</v>
      </c>
      <c r="E267">
        <v>400010</v>
      </c>
      <c r="F267">
        <v>241</v>
      </c>
      <c r="G267">
        <v>226010</v>
      </c>
      <c r="H267" t="s">
        <v>31</v>
      </c>
      <c r="J267">
        <v>120</v>
      </c>
      <c r="K267">
        <v>272042534</v>
      </c>
      <c r="L267">
        <v>7320</v>
      </c>
      <c r="M267">
        <v>10607</v>
      </c>
      <c r="N267">
        <v>52224</v>
      </c>
      <c r="O267">
        <v>0</v>
      </c>
      <c r="P267">
        <v>7320</v>
      </c>
      <c r="Q267">
        <v>0</v>
      </c>
      <c r="R267">
        <v>0</v>
      </c>
      <c r="S267">
        <v>0</v>
      </c>
      <c r="T267">
        <v>0</v>
      </c>
      <c r="U267">
        <v>0</v>
      </c>
      <c r="V267">
        <v>7320</v>
      </c>
      <c r="X267" t="str">
        <f>VLOOKUP(Результат[[#This Row],[Тип средств]],Таблица4[],2,0)</f>
        <v>Бюджетные средства (Бюджет муниципального образования)</v>
      </c>
      <c r="Y267" t="str">
        <f>VLOOKUP(Результат[[#This Row],[Тип средств]],Таблица4[],3,0)</f>
        <v>Местный бюджет</v>
      </c>
      <c r="Z267" t="str">
        <f>IF(LEFT(Результат[[#This Row],[ЦСР]],2)="06",VLOOKUP(Результат[[#This Row],[ЦСР]],Таблица3[[ЦСР]:[Пункт подпрограммы]],4,0),"")</f>
        <v>1.1.4</v>
      </c>
      <c r="AA26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7" s="37" t="str">
        <f t="shared" si="4"/>
        <v>КФКиС</v>
      </c>
    </row>
    <row r="268" spans="1:29" x14ac:dyDescent="0.25">
      <c r="A268" t="s">
        <v>22</v>
      </c>
      <c r="B268">
        <v>1103</v>
      </c>
      <c r="C268" t="s">
        <v>41</v>
      </c>
      <c r="D268">
        <v>611</v>
      </c>
      <c r="E268">
        <v>400010</v>
      </c>
      <c r="F268">
        <v>241</v>
      </c>
      <c r="G268">
        <v>226010</v>
      </c>
      <c r="H268" t="s">
        <v>24</v>
      </c>
      <c r="J268">
        <v>120</v>
      </c>
      <c r="K268">
        <v>272042534</v>
      </c>
      <c r="L268">
        <v>178970</v>
      </c>
      <c r="M268">
        <v>291748</v>
      </c>
      <c r="N268">
        <v>397752</v>
      </c>
      <c r="O268">
        <v>0</v>
      </c>
      <c r="P268">
        <v>178970</v>
      </c>
      <c r="Q268">
        <v>0</v>
      </c>
      <c r="R268">
        <v>0</v>
      </c>
      <c r="S268">
        <v>0</v>
      </c>
      <c r="T268">
        <v>0</v>
      </c>
      <c r="U268">
        <v>0</v>
      </c>
      <c r="V268">
        <v>178970</v>
      </c>
      <c r="X268" t="str">
        <f>VLOOKUP(Результат[[#This Row],[Тип средств]],Таблица4[],2,0)</f>
        <v>Бюджетные средства (Бюджет муниципального образования)</v>
      </c>
      <c r="Y268" t="str">
        <f>VLOOKUP(Результат[[#This Row],[Тип средств]],Таблица4[],3,0)</f>
        <v>Местный бюджет</v>
      </c>
      <c r="Z268" t="str">
        <f>IF(LEFT(Результат[[#This Row],[ЦСР]],2)="06",VLOOKUP(Результат[[#This Row],[ЦСР]],Таблица3[[ЦСР]:[Пункт подпрограммы]],4,0),"")</f>
        <v>1.1.4</v>
      </c>
      <c r="AA26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8" s="37" t="str">
        <f t="shared" si="4"/>
        <v>КФКиС</v>
      </c>
    </row>
    <row r="269" spans="1:29" x14ac:dyDescent="0.25">
      <c r="A269" t="s">
        <v>22</v>
      </c>
      <c r="B269">
        <v>1103</v>
      </c>
      <c r="C269" t="s">
        <v>41</v>
      </c>
      <c r="D269">
        <v>611</v>
      </c>
      <c r="E269">
        <v>400010</v>
      </c>
      <c r="F269">
        <v>241</v>
      </c>
      <c r="G269">
        <v>226011</v>
      </c>
      <c r="H269" t="s">
        <v>29</v>
      </c>
      <c r="J269">
        <v>120</v>
      </c>
      <c r="K269">
        <v>272042534</v>
      </c>
      <c r="L269">
        <v>61370</v>
      </c>
      <c r="M269">
        <v>194599</v>
      </c>
      <c r="N269">
        <v>340384</v>
      </c>
      <c r="O269">
        <v>0</v>
      </c>
      <c r="P269">
        <v>61370</v>
      </c>
      <c r="Q269">
        <v>0</v>
      </c>
      <c r="R269">
        <v>0</v>
      </c>
      <c r="S269">
        <v>0</v>
      </c>
      <c r="T269">
        <v>0</v>
      </c>
      <c r="U269">
        <v>0</v>
      </c>
      <c r="V269">
        <v>61370</v>
      </c>
      <c r="X269" t="str">
        <f>VLOOKUP(Результат[[#This Row],[Тип средств]],Таблица4[],2,0)</f>
        <v>Бюджетные средства (Бюджет муниципального образования)</v>
      </c>
      <c r="Y269" t="str">
        <f>VLOOKUP(Результат[[#This Row],[Тип средств]],Таблица4[],3,0)</f>
        <v>Местный бюджет</v>
      </c>
      <c r="Z269" t="str">
        <f>IF(LEFT(Результат[[#This Row],[ЦСР]],2)="06",VLOOKUP(Результат[[#This Row],[ЦСР]],Таблица3[[ЦСР]:[Пункт подпрограммы]],4,0),"")</f>
        <v>1.1.4</v>
      </c>
      <c r="AA26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9" s="37" t="str">
        <f t="shared" si="4"/>
        <v>КФКиС</v>
      </c>
    </row>
    <row r="270" spans="1:29" x14ac:dyDescent="0.25">
      <c r="A270" t="s">
        <v>22</v>
      </c>
      <c r="B270">
        <v>1103</v>
      </c>
      <c r="C270" t="s">
        <v>41</v>
      </c>
      <c r="D270">
        <v>611</v>
      </c>
      <c r="E270">
        <v>400010</v>
      </c>
      <c r="F270">
        <v>241</v>
      </c>
      <c r="G270">
        <v>226011</v>
      </c>
      <c r="H270" t="s">
        <v>31</v>
      </c>
      <c r="J270">
        <v>120</v>
      </c>
      <c r="K270">
        <v>272042534</v>
      </c>
      <c r="L270">
        <v>168320</v>
      </c>
      <c r="M270">
        <v>259840</v>
      </c>
      <c r="N270">
        <v>304640</v>
      </c>
      <c r="O270">
        <v>0</v>
      </c>
      <c r="P270">
        <v>168320</v>
      </c>
      <c r="Q270">
        <v>0</v>
      </c>
      <c r="R270">
        <v>0</v>
      </c>
      <c r="S270">
        <v>0</v>
      </c>
      <c r="T270">
        <v>0</v>
      </c>
      <c r="U270">
        <v>0</v>
      </c>
      <c r="V270">
        <v>168320</v>
      </c>
      <c r="X270" t="str">
        <f>VLOOKUP(Результат[[#This Row],[Тип средств]],Таблица4[],2,0)</f>
        <v>Бюджетные средства (Бюджет муниципального образования)</v>
      </c>
      <c r="Y270" t="str">
        <f>VLOOKUP(Результат[[#This Row],[Тип средств]],Таблица4[],3,0)</f>
        <v>Местный бюджет</v>
      </c>
      <c r="Z270" t="str">
        <f>IF(LEFT(Результат[[#This Row],[ЦСР]],2)="06",VLOOKUP(Результат[[#This Row],[ЦСР]],Таблица3[[ЦСР]:[Пункт подпрограммы]],4,0),"")</f>
        <v>1.1.4</v>
      </c>
      <c r="AA27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0" s="37" t="str">
        <f t="shared" si="4"/>
        <v>КФКиС</v>
      </c>
    </row>
    <row r="271" spans="1:29" x14ac:dyDescent="0.25">
      <c r="A271" t="s">
        <v>22</v>
      </c>
      <c r="B271">
        <v>1103</v>
      </c>
      <c r="C271" t="s">
        <v>41</v>
      </c>
      <c r="D271">
        <v>611</v>
      </c>
      <c r="E271">
        <v>400010</v>
      </c>
      <c r="F271">
        <v>241</v>
      </c>
      <c r="G271">
        <v>310003</v>
      </c>
      <c r="H271" t="s">
        <v>29</v>
      </c>
      <c r="J271">
        <v>120</v>
      </c>
      <c r="K271">
        <v>272042534</v>
      </c>
      <c r="L271">
        <v>25250</v>
      </c>
      <c r="M271">
        <v>25250</v>
      </c>
      <c r="N271">
        <v>25250</v>
      </c>
      <c r="O271">
        <v>0</v>
      </c>
      <c r="P271">
        <v>25250</v>
      </c>
      <c r="Q271">
        <v>0</v>
      </c>
      <c r="R271">
        <v>0</v>
      </c>
      <c r="S271">
        <v>0</v>
      </c>
      <c r="T271">
        <v>0</v>
      </c>
      <c r="U271">
        <v>0</v>
      </c>
      <c r="V271">
        <v>25250</v>
      </c>
      <c r="X271" t="str">
        <f>VLOOKUP(Результат[[#This Row],[Тип средств]],Таблица4[],2,0)</f>
        <v>Бюджетные средства (Бюджет муниципального образования)</v>
      </c>
      <c r="Y271" t="str">
        <f>VLOOKUP(Результат[[#This Row],[Тип средств]],Таблица4[],3,0)</f>
        <v>Местный бюджет</v>
      </c>
      <c r="Z271" t="str">
        <f>IF(LEFT(Результат[[#This Row],[ЦСР]],2)="06",VLOOKUP(Результат[[#This Row],[ЦСР]],Таблица3[[ЦСР]:[Пункт подпрограммы]],4,0),"")</f>
        <v>1.1.4</v>
      </c>
      <c r="AA27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1" s="37" t="str">
        <f t="shared" si="4"/>
        <v>КФКиС</v>
      </c>
    </row>
    <row r="272" spans="1:29" x14ac:dyDescent="0.25">
      <c r="A272" t="s">
        <v>22</v>
      </c>
      <c r="B272">
        <v>1103</v>
      </c>
      <c r="C272" t="s">
        <v>41</v>
      </c>
      <c r="D272">
        <v>611</v>
      </c>
      <c r="E272">
        <v>400010</v>
      </c>
      <c r="F272">
        <v>241</v>
      </c>
      <c r="G272">
        <v>310003</v>
      </c>
      <c r="H272" t="s">
        <v>24</v>
      </c>
      <c r="J272">
        <v>120</v>
      </c>
      <c r="K272">
        <v>272042534</v>
      </c>
      <c r="L272">
        <v>37906</v>
      </c>
      <c r="M272">
        <v>40000</v>
      </c>
      <c r="N272">
        <v>40000</v>
      </c>
      <c r="O272">
        <v>0</v>
      </c>
      <c r="P272">
        <v>37906</v>
      </c>
      <c r="Q272">
        <v>0</v>
      </c>
      <c r="R272">
        <v>0</v>
      </c>
      <c r="S272">
        <v>0</v>
      </c>
      <c r="T272">
        <v>0</v>
      </c>
      <c r="U272">
        <v>0</v>
      </c>
      <c r="V272">
        <v>37906</v>
      </c>
      <c r="X272" t="str">
        <f>VLOOKUP(Результат[[#This Row],[Тип средств]],Таблица4[],2,0)</f>
        <v>Бюджетные средства (Бюджет муниципального образования)</v>
      </c>
      <c r="Y272" t="str">
        <f>VLOOKUP(Результат[[#This Row],[Тип средств]],Таблица4[],3,0)</f>
        <v>Местный бюджет</v>
      </c>
      <c r="Z272" t="str">
        <f>IF(LEFT(Результат[[#This Row],[ЦСР]],2)="06",VLOOKUP(Результат[[#This Row],[ЦСР]],Таблица3[[ЦСР]:[Пункт подпрограммы]],4,0),"")</f>
        <v>1.1.4</v>
      </c>
      <c r="AA27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2" s="37" t="str">
        <f t="shared" si="4"/>
        <v>КФКиС</v>
      </c>
    </row>
    <row r="273" spans="1:29" x14ac:dyDescent="0.25">
      <c r="A273" t="s">
        <v>22</v>
      </c>
      <c r="B273">
        <v>1103</v>
      </c>
      <c r="C273" t="s">
        <v>41</v>
      </c>
      <c r="D273">
        <v>611</v>
      </c>
      <c r="E273">
        <v>400010</v>
      </c>
      <c r="F273">
        <v>241</v>
      </c>
      <c r="G273">
        <v>345001</v>
      </c>
      <c r="H273" t="s">
        <v>29</v>
      </c>
      <c r="J273">
        <v>120</v>
      </c>
      <c r="K273">
        <v>272042534</v>
      </c>
      <c r="L273">
        <v>27500</v>
      </c>
      <c r="M273">
        <v>27500</v>
      </c>
      <c r="N273">
        <v>27500</v>
      </c>
      <c r="O273">
        <v>0</v>
      </c>
      <c r="P273">
        <v>27500</v>
      </c>
      <c r="Q273">
        <v>0</v>
      </c>
      <c r="R273">
        <v>0</v>
      </c>
      <c r="S273">
        <v>0</v>
      </c>
      <c r="T273">
        <v>0</v>
      </c>
      <c r="U273">
        <v>0</v>
      </c>
      <c r="V273">
        <v>27500</v>
      </c>
      <c r="X273" t="str">
        <f>VLOOKUP(Результат[[#This Row],[Тип средств]],Таблица4[],2,0)</f>
        <v>Бюджетные средства (Бюджет муниципального образования)</v>
      </c>
      <c r="Y273" t="str">
        <f>VLOOKUP(Результат[[#This Row],[Тип средств]],Таблица4[],3,0)</f>
        <v>Местный бюджет</v>
      </c>
      <c r="Z273" t="str">
        <f>IF(LEFT(Результат[[#This Row],[ЦСР]],2)="06",VLOOKUP(Результат[[#This Row],[ЦСР]],Таблица3[[ЦСР]:[Пункт подпрограммы]],4,0),"")</f>
        <v>1.1.4</v>
      </c>
      <c r="AA27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3" s="37" t="str">
        <f t="shared" si="4"/>
        <v>КФКиС</v>
      </c>
    </row>
    <row r="274" spans="1:29" x14ac:dyDescent="0.25">
      <c r="A274" t="s">
        <v>22</v>
      </c>
      <c r="B274">
        <v>1103</v>
      </c>
      <c r="C274" t="s">
        <v>41</v>
      </c>
      <c r="D274">
        <v>611</v>
      </c>
      <c r="E274">
        <v>400010</v>
      </c>
      <c r="F274">
        <v>241</v>
      </c>
      <c r="G274">
        <v>345001</v>
      </c>
      <c r="H274" t="s">
        <v>32</v>
      </c>
      <c r="J274">
        <v>120</v>
      </c>
      <c r="K274">
        <v>272042534</v>
      </c>
      <c r="L274">
        <v>25116</v>
      </c>
      <c r="M274">
        <v>0</v>
      </c>
      <c r="N274">
        <v>0</v>
      </c>
      <c r="O274">
        <v>0</v>
      </c>
      <c r="P274">
        <v>25116</v>
      </c>
      <c r="Q274">
        <v>0</v>
      </c>
      <c r="R274">
        <v>0</v>
      </c>
      <c r="S274">
        <v>0</v>
      </c>
      <c r="T274">
        <v>0</v>
      </c>
      <c r="U274">
        <v>0</v>
      </c>
      <c r="V274">
        <v>25116</v>
      </c>
      <c r="X274" t="str">
        <f>VLOOKUP(Результат[[#This Row],[Тип средств]],Таблица4[],2,0)</f>
        <v>Бюджетные средства (Бюджет муниципального образования)</v>
      </c>
      <c r="Y274" t="str">
        <f>VLOOKUP(Результат[[#This Row],[Тип средств]],Таблица4[],3,0)</f>
        <v>Местный бюджет</v>
      </c>
      <c r="Z274" t="str">
        <f>IF(LEFT(Результат[[#This Row],[ЦСР]],2)="06",VLOOKUP(Результат[[#This Row],[ЦСР]],Таблица3[[ЦСР]:[Пункт подпрограммы]],4,0),"")</f>
        <v>1.1.4</v>
      </c>
      <c r="AA27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4" s="37" t="str">
        <f t="shared" si="4"/>
        <v>КФКиС</v>
      </c>
    </row>
    <row r="275" spans="1:29" x14ac:dyDescent="0.25">
      <c r="A275" t="s">
        <v>22</v>
      </c>
      <c r="B275">
        <v>1103</v>
      </c>
      <c r="C275" t="s">
        <v>41</v>
      </c>
      <c r="D275">
        <v>611</v>
      </c>
      <c r="E275">
        <v>400010</v>
      </c>
      <c r="F275">
        <v>241</v>
      </c>
      <c r="G275">
        <v>346001</v>
      </c>
      <c r="H275" t="s">
        <v>29</v>
      </c>
      <c r="J275">
        <v>120</v>
      </c>
      <c r="K275">
        <v>272042534</v>
      </c>
      <c r="L275">
        <v>5250</v>
      </c>
      <c r="M275">
        <v>5250</v>
      </c>
      <c r="N275">
        <v>5250</v>
      </c>
      <c r="O275">
        <v>0</v>
      </c>
      <c r="P275">
        <v>5250</v>
      </c>
      <c r="Q275">
        <v>0</v>
      </c>
      <c r="R275">
        <v>0</v>
      </c>
      <c r="S275">
        <v>0</v>
      </c>
      <c r="T275">
        <v>0</v>
      </c>
      <c r="U275">
        <v>0</v>
      </c>
      <c r="V275">
        <v>5250</v>
      </c>
      <c r="X275" t="str">
        <f>VLOOKUP(Результат[[#This Row],[Тип средств]],Таблица4[],2,0)</f>
        <v>Бюджетные средства (Бюджет муниципального образования)</v>
      </c>
      <c r="Y275" t="str">
        <f>VLOOKUP(Результат[[#This Row],[Тип средств]],Таблица4[],3,0)</f>
        <v>Местный бюджет</v>
      </c>
      <c r="Z275" t="str">
        <f>IF(LEFT(Результат[[#This Row],[ЦСР]],2)="06",VLOOKUP(Результат[[#This Row],[ЦСР]],Таблица3[[ЦСР]:[Пункт подпрограммы]],4,0),"")</f>
        <v>1.1.4</v>
      </c>
      <c r="AA27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5" s="37" t="str">
        <f t="shared" si="4"/>
        <v>КФКиС</v>
      </c>
    </row>
    <row r="276" spans="1:29" x14ac:dyDescent="0.25">
      <c r="A276" t="s">
        <v>22</v>
      </c>
      <c r="B276">
        <v>1103</v>
      </c>
      <c r="C276" t="s">
        <v>41</v>
      </c>
      <c r="D276">
        <v>621</v>
      </c>
      <c r="E276">
        <v>400010</v>
      </c>
      <c r="F276">
        <v>241</v>
      </c>
      <c r="G276">
        <v>226010</v>
      </c>
      <c r="H276" t="s">
        <v>33</v>
      </c>
      <c r="J276">
        <v>210</v>
      </c>
      <c r="K276">
        <v>272042534</v>
      </c>
      <c r="L276">
        <v>316729</v>
      </c>
      <c r="M276">
        <v>480205</v>
      </c>
      <c r="N276">
        <v>633647</v>
      </c>
      <c r="O276">
        <v>0</v>
      </c>
      <c r="P276">
        <v>316729</v>
      </c>
      <c r="Q276">
        <v>0</v>
      </c>
      <c r="R276">
        <v>0</v>
      </c>
      <c r="S276">
        <v>0</v>
      </c>
      <c r="T276">
        <v>0</v>
      </c>
      <c r="U276">
        <v>0</v>
      </c>
      <c r="V276">
        <v>316729</v>
      </c>
      <c r="X276" t="str">
        <f>VLOOKUP(Результат[[#This Row],[Тип средств]],Таблица4[],2,0)</f>
        <v>Бюджетные средства (Бюджет муниципального образования)</v>
      </c>
      <c r="Y276" t="str">
        <f>VLOOKUP(Результат[[#This Row],[Тип средств]],Таблица4[],3,0)</f>
        <v>Местный бюджет</v>
      </c>
      <c r="Z276" t="str">
        <f>IF(LEFT(Результат[[#This Row],[ЦСР]],2)="06",VLOOKUP(Результат[[#This Row],[ЦСР]],Таблица3[[ЦСР]:[Пункт подпрограммы]],4,0),"")</f>
        <v>1.1.4</v>
      </c>
      <c r="AA27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6" s="37" t="str">
        <f t="shared" si="4"/>
        <v>КФКиС</v>
      </c>
    </row>
    <row r="277" spans="1:29" x14ac:dyDescent="0.25">
      <c r="A277" t="s">
        <v>22</v>
      </c>
      <c r="B277">
        <v>1103</v>
      </c>
      <c r="C277" t="s">
        <v>23</v>
      </c>
      <c r="D277">
        <v>612</v>
      </c>
      <c r="E277">
        <v>400010</v>
      </c>
      <c r="F277">
        <v>241</v>
      </c>
      <c r="G277">
        <v>310003</v>
      </c>
      <c r="H277" t="s">
        <v>24</v>
      </c>
      <c r="J277">
        <v>120</v>
      </c>
      <c r="K277">
        <v>272042534</v>
      </c>
      <c r="L277">
        <v>0</v>
      </c>
      <c r="M277">
        <v>0</v>
      </c>
      <c r="N277">
        <v>0</v>
      </c>
      <c r="O277">
        <v>0</v>
      </c>
      <c r="P277">
        <v>0</v>
      </c>
      <c r="Q277">
        <v>0</v>
      </c>
      <c r="R277">
        <v>0</v>
      </c>
      <c r="S277">
        <v>59047</v>
      </c>
      <c r="T277">
        <v>0</v>
      </c>
      <c r="U277">
        <v>59047</v>
      </c>
      <c r="V277">
        <v>-59047</v>
      </c>
      <c r="X277" t="str">
        <f>VLOOKUP(Результат[[#This Row],[Тип средств]],Таблица4[],2,0)</f>
        <v>Бюджетные средства (Бюджет муниципального образования)</v>
      </c>
      <c r="Y277" t="str">
        <f>VLOOKUP(Результат[[#This Row],[Тип средств]],Таблица4[],3,0)</f>
        <v>Местный бюджет</v>
      </c>
      <c r="Z277" t="str">
        <f>IF(LEFT(Результат[[#This Row],[ЦСР]],2)="06",VLOOKUP(Результат[[#This Row],[ЦСР]],Таблица3[[ЦСР]:[Пункт подпрограммы]],4,0),"")</f>
        <v>1.1.5</v>
      </c>
      <c r="AA27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7" s="37" t="str">
        <f t="shared" si="4"/>
        <v>КФКиС</v>
      </c>
    </row>
    <row r="278" spans="1:29" x14ac:dyDescent="0.25">
      <c r="A278" t="s">
        <v>22</v>
      </c>
      <c r="B278">
        <v>1105</v>
      </c>
      <c r="C278" t="s">
        <v>49</v>
      </c>
      <c r="D278">
        <v>121</v>
      </c>
      <c r="E278">
        <v>400010</v>
      </c>
      <c r="F278">
        <v>211</v>
      </c>
      <c r="G278">
        <v>211001</v>
      </c>
      <c r="J278">
        <v>910</v>
      </c>
      <c r="K278">
        <v>272042602</v>
      </c>
      <c r="L278">
        <v>0</v>
      </c>
      <c r="M278">
        <v>0</v>
      </c>
      <c r="N278">
        <v>0</v>
      </c>
      <c r="O278">
        <v>656490.04</v>
      </c>
      <c r="P278">
        <v>-656490.04</v>
      </c>
      <c r="Q278">
        <v>3290000</v>
      </c>
      <c r="R278">
        <v>3200000</v>
      </c>
      <c r="S278">
        <v>3498000</v>
      </c>
      <c r="T278">
        <v>5870500</v>
      </c>
      <c r="U278">
        <v>15858500</v>
      </c>
      <c r="V278">
        <v>-15858500</v>
      </c>
      <c r="X278" t="str">
        <f>VLOOKUP(Результат[[#This Row],[Тип средств]],Таблица4[],2,0)</f>
        <v>Бюджетные средства (Бюджет муниципального образования)</v>
      </c>
      <c r="Y278" t="str">
        <f>VLOOKUP(Результат[[#This Row],[Тип средств]],Таблица4[],3,0)</f>
        <v>Местный бюджет</v>
      </c>
      <c r="Z278" t="str">
        <f>IF(LEFT(Результат[[#This Row],[ЦСР]],2)="06",VLOOKUP(Результат[[#This Row],[ЦСР]],Таблица3[[ЦСР]:[Пункт подпрограммы]],4,0),"")</f>
        <v>1.3.1</v>
      </c>
      <c r="AA27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78" s="37" t="str">
        <f t="shared" si="4"/>
        <v>КФКиС</v>
      </c>
    </row>
    <row r="279" spans="1:29" x14ac:dyDescent="0.25">
      <c r="A279" t="s">
        <v>22</v>
      </c>
      <c r="B279">
        <v>1105</v>
      </c>
      <c r="C279" t="s">
        <v>49</v>
      </c>
      <c r="D279">
        <v>122</v>
      </c>
      <c r="E279">
        <v>400010</v>
      </c>
      <c r="F279">
        <v>212</v>
      </c>
      <c r="G279">
        <v>212001</v>
      </c>
      <c r="J279">
        <v>910</v>
      </c>
      <c r="K279">
        <v>272042601</v>
      </c>
      <c r="L279">
        <v>0</v>
      </c>
      <c r="M279">
        <v>0</v>
      </c>
      <c r="N279">
        <v>0</v>
      </c>
      <c r="O279">
        <v>0</v>
      </c>
      <c r="P279">
        <v>0</v>
      </c>
      <c r="Q279">
        <v>3000</v>
      </c>
      <c r="R279">
        <v>5000</v>
      </c>
      <c r="S279">
        <v>5000</v>
      </c>
      <c r="T279">
        <v>5000</v>
      </c>
      <c r="U279">
        <v>18000</v>
      </c>
      <c r="V279">
        <v>-18000</v>
      </c>
      <c r="X279" t="str">
        <f>VLOOKUP(Результат[[#This Row],[Тип средств]],Таблица4[],2,0)</f>
        <v>Бюджетные средства (Бюджет муниципального образования)</v>
      </c>
      <c r="Y279" t="str">
        <f>VLOOKUP(Результат[[#This Row],[Тип средств]],Таблица4[],3,0)</f>
        <v>Местный бюджет</v>
      </c>
      <c r="Z279" t="str">
        <f>IF(LEFT(Результат[[#This Row],[ЦСР]],2)="06",VLOOKUP(Результат[[#This Row],[ЦСР]],Таблица3[[ЦСР]:[Пункт подпрограммы]],4,0),"")</f>
        <v>1.3.1</v>
      </c>
      <c r="AA27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79" s="37" t="str">
        <f t="shared" si="4"/>
        <v>КФКиС</v>
      </c>
    </row>
    <row r="280" spans="1:29" x14ac:dyDescent="0.25">
      <c r="A280" t="s">
        <v>22</v>
      </c>
      <c r="B280">
        <v>1105</v>
      </c>
      <c r="C280" t="s">
        <v>49</v>
      </c>
      <c r="D280">
        <v>122</v>
      </c>
      <c r="E280">
        <v>400010</v>
      </c>
      <c r="F280">
        <v>214</v>
      </c>
      <c r="G280">
        <v>214001</v>
      </c>
      <c r="J280">
        <v>910</v>
      </c>
      <c r="K280">
        <v>272042621</v>
      </c>
      <c r="L280">
        <v>0</v>
      </c>
      <c r="M280">
        <v>0</v>
      </c>
      <c r="N280">
        <v>0</v>
      </c>
      <c r="O280">
        <v>0</v>
      </c>
      <c r="P280">
        <v>0</v>
      </c>
      <c r="Q280">
        <v>90000</v>
      </c>
      <c r="R280">
        <v>160000</v>
      </c>
      <c r="S280">
        <v>89000</v>
      </c>
      <c r="T280">
        <v>0</v>
      </c>
      <c r="U280">
        <v>339000</v>
      </c>
      <c r="V280">
        <v>-339000</v>
      </c>
      <c r="X280" t="str">
        <f>VLOOKUP(Результат[[#This Row],[Тип средств]],Таблица4[],2,0)</f>
        <v>Бюджетные средства (Бюджет муниципального образования)</v>
      </c>
      <c r="Y280" t="str">
        <f>VLOOKUP(Результат[[#This Row],[Тип средств]],Таблица4[],3,0)</f>
        <v>Местный бюджет</v>
      </c>
      <c r="Z280" t="str">
        <f>IF(LEFT(Результат[[#This Row],[ЦСР]],2)="06",VLOOKUP(Результат[[#This Row],[ЦСР]],Таблица3[[ЦСР]:[Пункт подпрограммы]],4,0),"")</f>
        <v>1.3.1</v>
      </c>
      <c r="AA28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0" s="37" t="str">
        <f t="shared" si="4"/>
        <v>КФКиС</v>
      </c>
    </row>
    <row r="281" spans="1:29" x14ac:dyDescent="0.25">
      <c r="A281" t="s">
        <v>22</v>
      </c>
      <c r="B281">
        <v>1105</v>
      </c>
      <c r="C281" t="s">
        <v>49</v>
      </c>
      <c r="D281">
        <v>122</v>
      </c>
      <c r="E281">
        <v>400010</v>
      </c>
      <c r="F281">
        <v>226</v>
      </c>
      <c r="G281">
        <v>226008</v>
      </c>
      <c r="J281">
        <v>910</v>
      </c>
      <c r="K281">
        <v>272042601</v>
      </c>
      <c r="L281">
        <v>0</v>
      </c>
      <c r="M281">
        <v>0</v>
      </c>
      <c r="N281">
        <v>0</v>
      </c>
      <c r="O281">
        <v>0</v>
      </c>
      <c r="P281">
        <v>0</v>
      </c>
      <c r="Q281">
        <v>5000</v>
      </c>
      <c r="R281">
        <v>13000</v>
      </c>
      <c r="S281">
        <v>0</v>
      </c>
      <c r="T281">
        <v>0</v>
      </c>
      <c r="U281">
        <v>18000</v>
      </c>
      <c r="V281">
        <v>-18000</v>
      </c>
      <c r="X281" t="str">
        <f>VLOOKUP(Результат[[#This Row],[Тип средств]],Таблица4[],2,0)</f>
        <v>Бюджетные средства (Бюджет муниципального образования)</v>
      </c>
      <c r="Y281" t="str">
        <f>VLOOKUP(Результат[[#This Row],[Тип средств]],Таблица4[],3,0)</f>
        <v>Местный бюджет</v>
      </c>
      <c r="Z281" t="str">
        <f>IF(LEFT(Результат[[#This Row],[ЦСР]],2)="06",VLOOKUP(Результат[[#This Row],[ЦСР]],Таблица3[[ЦСР]:[Пункт подпрограммы]],4,0),"")</f>
        <v>1.3.1</v>
      </c>
      <c r="AA28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1" s="37" t="str">
        <f t="shared" si="4"/>
        <v>КФКиС</v>
      </c>
    </row>
    <row r="282" spans="1:29" x14ac:dyDescent="0.25">
      <c r="A282" t="s">
        <v>22</v>
      </c>
      <c r="B282">
        <v>1105</v>
      </c>
      <c r="C282" t="s">
        <v>49</v>
      </c>
      <c r="D282">
        <v>122</v>
      </c>
      <c r="E282">
        <v>400010</v>
      </c>
      <c r="F282">
        <v>226</v>
      </c>
      <c r="G282">
        <v>226009</v>
      </c>
      <c r="J282">
        <v>910</v>
      </c>
      <c r="K282">
        <v>272042601</v>
      </c>
      <c r="L282">
        <v>0</v>
      </c>
      <c r="M282">
        <v>0</v>
      </c>
      <c r="N282">
        <v>0</v>
      </c>
      <c r="O282">
        <v>0</v>
      </c>
      <c r="P282">
        <v>0</v>
      </c>
      <c r="Q282">
        <v>12000</v>
      </c>
      <c r="R282">
        <v>12000</v>
      </c>
      <c r="S282">
        <v>21000</v>
      </c>
      <c r="T282">
        <v>0</v>
      </c>
      <c r="U282">
        <v>45000</v>
      </c>
      <c r="V282">
        <v>-45000</v>
      </c>
      <c r="X282" t="str">
        <f>VLOOKUP(Результат[[#This Row],[Тип средств]],Таблица4[],2,0)</f>
        <v>Бюджетные средства (Бюджет муниципального образования)</v>
      </c>
      <c r="Y282" t="str">
        <f>VLOOKUP(Результат[[#This Row],[Тип средств]],Таблица4[],3,0)</f>
        <v>Местный бюджет</v>
      </c>
      <c r="Z282" t="str">
        <f>IF(LEFT(Результат[[#This Row],[ЦСР]],2)="06",VLOOKUP(Результат[[#This Row],[ЦСР]],Таблица3[[ЦСР]:[Пункт подпрограммы]],4,0),"")</f>
        <v>1.3.1</v>
      </c>
      <c r="AA28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2" s="37" t="str">
        <f t="shared" si="4"/>
        <v>КФКиС</v>
      </c>
    </row>
    <row r="283" spans="1:29" x14ac:dyDescent="0.25">
      <c r="A283" t="s">
        <v>22</v>
      </c>
      <c r="B283">
        <v>1105</v>
      </c>
      <c r="C283" t="s">
        <v>49</v>
      </c>
      <c r="D283">
        <v>122</v>
      </c>
      <c r="E283">
        <v>400010</v>
      </c>
      <c r="F283">
        <v>267</v>
      </c>
      <c r="G283">
        <v>267001</v>
      </c>
      <c r="J283">
        <v>910</v>
      </c>
      <c r="K283">
        <v>272042601</v>
      </c>
      <c r="L283">
        <v>0</v>
      </c>
      <c r="M283">
        <v>0</v>
      </c>
      <c r="N283">
        <v>0</v>
      </c>
      <c r="O283">
        <v>0</v>
      </c>
      <c r="P283">
        <v>0</v>
      </c>
      <c r="Q283">
        <v>40000</v>
      </c>
      <c r="R283">
        <v>120000</v>
      </c>
      <c r="S283">
        <v>80000</v>
      </c>
      <c r="T283">
        <v>0</v>
      </c>
      <c r="U283">
        <v>240000</v>
      </c>
      <c r="V283">
        <v>-240000</v>
      </c>
      <c r="X283" t="str">
        <f>VLOOKUP(Результат[[#This Row],[Тип средств]],Таблица4[],2,0)</f>
        <v>Бюджетные средства (Бюджет муниципального образования)</v>
      </c>
      <c r="Y283" t="str">
        <f>VLOOKUP(Результат[[#This Row],[Тип средств]],Таблица4[],3,0)</f>
        <v>Местный бюджет</v>
      </c>
      <c r="Z283" t="str">
        <f>IF(LEFT(Результат[[#This Row],[ЦСР]],2)="06",VLOOKUP(Результат[[#This Row],[ЦСР]],Таблица3[[ЦСР]:[Пункт подпрограммы]],4,0),"")</f>
        <v>1.3.1</v>
      </c>
      <c r="AA28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3" s="37" t="str">
        <f t="shared" si="4"/>
        <v>КФКиС</v>
      </c>
    </row>
    <row r="284" spans="1:29" x14ac:dyDescent="0.25">
      <c r="A284" t="s">
        <v>22</v>
      </c>
      <c r="B284">
        <v>1105</v>
      </c>
      <c r="C284" t="s">
        <v>49</v>
      </c>
      <c r="D284">
        <v>129</v>
      </c>
      <c r="E284">
        <v>400010</v>
      </c>
      <c r="F284">
        <v>213</v>
      </c>
      <c r="G284">
        <v>213001</v>
      </c>
      <c r="J284">
        <v>910</v>
      </c>
      <c r="K284">
        <v>272042601</v>
      </c>
      <c r="L284">
        <v>0</v>
      </c>
      <c r="M284">
        <v>0</v>
      </c>
      <c r="N284">
        <v>0</v>
      </c>
      <c r="O284">
        <v>0</v>
      </c>
      <c r="P284">
        <v>0</v>
      </c>
      <c r="Q284">
        <v>900000</v>
      </c>
      <c r="R284">
        <v>1000000</v>
      </c>
      <c r="S284">
        <v>1060000</v>
      </c>
      <c r="T284">
        <v>1829200</v>
      </c>
      <c r="U284">
        <v>4789200</v>
      </c>
      <c r="V284">
        <v>-4789200</v>
      </c>
      <c r="X284" t="str">
        <f>VLOOKUP(Результат[[#This Row],[Тип средств]],Таблица4[],2,0)</f>
        <v>Бюджетные средства (Бюджет муниципального образования)</v>
      </c>
      <c r="Y284" t="str">
        <f>VLOOKUP(Результат[[#This Row],[Тип средств]],Таблица4[],3,0)</f>
        <v>Местный бюджет</v>
      </c>
      <c r="Z284" t="str">
        <f>IF(LEFT(Результат[[#This Row],[ЦСР]],2)="06",VLOOKUP(Результат[[#This Row],[ЦСР]],Таблица3[[ЦСР]:[Пункт подпрограммы]],4,0),"")</f>
        <v>1.3.1</v>
      </c>
      <c r="AA28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4" s="37" t="str">
        <f t="shared" si="4"/>
        <v>КФКиС</v>
      </c>
    </row>
    <row r="285" spans="1:29" x14ac:dyDescent="0.25">
      <c r="A285" t="s">
        <v>22</v>
      </c>
      <c r="B285">
        <v>1105</v>
      </c>
      <c r="C285" t="s">
        <v>49</v>
      </c>
      <c r="D285">
        <v>129</v>
      </c>
      <c r="E285">
        <v>400010</v>
      </c>
      <c r="F285">
        <v>213</v>
      </c>
      <c r="G285">
        <v>213002</v>
      </c>
      <c r="J285">
        <v>910</v>
      </c>
      <c r="K285">
        <v>272042621</v>
      </c>
      <c r="L285">
        <v>0</v>
      </c>
      <c r="M285">
        <v>0</v>
      </c>
      <c r="N285">
        <v>0</v>
      </c>
      <c r="O285">
        <v>0</v>
      </c>
      <c r="P285">
        <v>0</v>
      </c>
      <c r="Q285">
        <v>0</v>
      </c>
      <c r="R285">
        <v>30000</v>
      </c>
      <c r="S285">
        <v>34000</v>
      </c>
      <c r="T285">
        <v>0</v>
      </c>
      <c r="U285">
        <v>64000</v>
      </c>
      <c r="V285">
        <v>-64000</v>
      </c>
      <c r="X285" t="str">
        <f>VLOOKUP(Результат[[#This Row],[Тип средств]],Таблица4[],2,0)</f>
        <v>Бюджетные средства (Бюджет муниципального образования)</v>
      </c>
      <c r="Y285" t="str">
        <f>VLOOKUP(Результат[[#This Row],[Тип средств]],Таблица4[],3,0)</f>
        <v>Местный бюджет</v>
      </c>
      <c r="Z285" t="str">
        <f>IF(LEFT(Результат[[#This Row],[ЦСР]],2)="06",VLOOKUP(Результат[[#This Row],[ЦСР]],Таблица3[[ЦСР]:[Пункт подпрограммы]],4,0),"")</f>
        <v>1.3.1</v>
      </c>
      <c r="AA285"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5" s="37" t="str">
        <f t="shared" si="4"/>
        <v>КФКиС</v>
      </c>
    </row>
    <row r="286" spans="1:29" x14ac:dyDescent="0.25">
      <c r="A286" t="s">
        <v>22</v>
      </c>
      <c r="B286">
        <v>1105</v>
      </c>
      <c r="C286" t="s">
        <v>49</v>
      </c>
      <c r="D286">
        <v>129</v>
      </c>
      <c r="E286">
        <v>400010</v>
      </c>
      <c r="F286">
        <v>267</v>
      </c>
      <c r="G286">
        <v>267002</v>
      </c>
      <c r="J286">
        <v>910</v>
      </c>
      <c r="K286">
        <v>272042601</v>
      </c>
      <c r="L286">
        <v>0</v>
      </c>
      <c r="M286">
        <v>0</v>
      </c>
      <c r="N286">
        <v>0</v>
      </c>
      <c r="O286">
        <v>0</v>
      </c>
      <c r="P286">
        <v>0</v>
      </c>
      <c r="Q286">
        <v>12080</v>
      </c>
      <c r="R286">
        <v>36260</v>
      </c>
      <c r="S286">
        <v>24160</v>
      </c>
      <c r="T286">
        <v>0</v>
      </c>
      <c r="U286">
        <v>72500</v>
      </c>
      <c r="V286">
        <v>-72500</v>
      </c>
      <c r="X286" t="str">
        <f>VLOOKUP(Результат[[#This Row],[Тип средств]],Таблица4[],2,0)</f>
        <v>Бюджетные средства (Бюджет муниципального образования)</v>
      </c>
      <c r="Y286" t="str">
        <f>VLOOKUP(Результат[[#This Row],[Тип средств]],Таблица4[],3,0)</f>
        <v>Местный бюджет</v>
      </c>
      <c r="Z286" t="str">
        <f>IF(LEFT(Результат[[#This Row],[ЦСР]],2)="06",VLOOKUP(Результат[[#This Row],[ЦСР]],Таблица3[[ЦСР]:[Пункт подпрограммы]],4,0),"")</f>
        <v>1.3.1</v>
      </c>
      <c r="AA286"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6" s="37" t="str">
        <f t="shared" si="4"/>
        <v>КФКиС</v>
      </c>
    </row>
    <row r="287" spans="1:29" x14ac:dyDescent="0.25">
      <c r="A287" t="s">
        <v>22</v>
      </c>
      <c r="B287">
        <v>1105</v>
      </c>
      <c r="C287" t="s">
        <v>49</v>
      </c>
      <c r="D287">
        <v>244</v>
      </c>
      <c r="E287">
        <v>400010</v>
      </c>
      <c r="F287">
        <v>221</v>
      </c>
      <c r="G287">
        <v>221001</v>
      </c>
      <c r="J287">
        <v>110</v>
      </c>
      <c r="K287">
        <v>272042601</v>
      </c>
      <c r="L287">
        <v>0</v>
      </c>
      <c r="M287">
        <v>0</v>
      </c>
      <c r="N287">
        <v>0</v>
      </c>
      <c r="O287">
        <v>1163.92</v>
      </c>
      <c r="P287">
        <v>-1163.92</v>
      </c>
      <c r="Q287">
        <v>30000</v>
      </c>
      <c r="R287">
        <v>39000</v>
      </c>
      <c r="S287">
        <v>42000</v>
      </c>
      <c r="T287">
        <v>85100</v>
      </c>
      <c r="U287">
        <v>196100</v>
      </c>
      <c r="V287">
        <v>-196100</v>
      </c>
      <c r="X287" t="str">
        <f>VLOOKUP(Результат[[#This Row],[Тип средств]],Таблица4[],2,0)</f>
        <v>Бюджетные средства (Бюджет муниципального образования)</v>
      </c>
      <c r="Y287" t="str">
        <f>VLOOKUP(Результат[[#This Row],[Тип средств]],Таблица4[],3,0)</f>
        <v>Местный бюджет</v>
      </c>
      <c r="Z287" t="str">
        <f>IF(LEFT(Результат[[#This Row],[ЦСР]],2)="06",VLOOKUP(Результат[[#This Row],[ЦСР]],Таблица3[[ЦСР]:[Пункт подпрограммы]],4,0),"")</f>
        <v>1.3.1</v>
      </c>
      <c r="AA28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7" s="37" t="str">
        <f t="shared" si="4"/>
        <v>КФКиС</v>
      </c>
    </row>
    <row r="288" spans="1:29" x14ac:dyDescent="0.25">
      <c r="A288" t="s">
        <v>22</v>
      </c>
      <c r="B288">
        <v>1105</v>
      </c>
      <c r="C288" t="s">
        <v>49</v>
      </c>
      <c r="D288">
        <v>244</v>
      </c>
      <c r="E288">
        <v>400010</v>
      </c>
      <c r="F288">
        <v>225</v>
      </c>
      <c r="G288">
        <v>225005</v>
      </c>
      <c r="J288">
        <v>110</v>
      </c>
      <c r="K288">
        <v>272042601</v>
      </c>
      <c r="L288">
        <v>0</v>
      </c>
      <c r="M288">
        <v>0</v>
      </c>
      <c r="N288">
        <v>0</v>
      </c>
      <c r="O288">
        <v>0</v>
      </c>
      <c r="P288">
        <v>0</v>
      </c>
      <c r="Q288">
        <v>21750</v>
      </c>
      <c r="R288">
        <v>21750</v>
      </c>
      <c r="S288">
        <v>21750</v>
      </c>
      <c r="T288">
        <v>21750</v>
      </c>
      <c r="U288">
        <v>87000</v>
      </c>
      <c r="V288">
        <v>-87000</v>
      </c>
      <c r="X288" t="str">
        <f>VLOOKUP(Результат[[#This Row],[Тип средств]],Таблица4[],2,0)</f>
        <v>Бюджетные средства (Бюджет муниципального образования)</v>
      </c>
      <c r="Y288" t="str">
        <f>VLOOKUP(Результат[[#This Row],[Тип средств]],Таблица4[],3,0)</f>
        <v>Местный бюджет</v>
      </c>
      <c r="Z288" t="str">
        <f>IF(LEFT(Результат[[#This Row],[ЦСР]],2)="06",VLOOKUP(Результат[[#This Row],[ЦСР]],Таблица3[[ЦСР]:[Пункт подпрограммы]],4,0),"")</f>
        <v>1.3.1</v>
      </c>
      <c r="AA288"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8" s="37" t="str">
        <f t="shared" si="4"/>
        <v>КФКиС</v>
      </c>
    </row>
    <row r="289" spans="1:29" x14ac:dyDescent="0.25">
      <c r="A289" t="s">
        <v>22</v>
      </c>
      <c r="B289">
        <v>1105</v>
      </c>
      <c r="C289" t="s">
        <v>49</v>
      </c>
      <c r="D289">
        <v>244</v>
      </c>
      <c r="E289">
        <v>400010</v>
      </c>
      <c r="F289">
        <v>226</v>
      </c>
      <c r="G289">
        <v>226005</v>
      </c>
      <c r="J289">
        <v>110</v>
      </c>
      <c r="K289">
        <v>272042601</v>
      </c>
      <c r="L289">
        <v>0</v>
      </c>
      <c r="M289">
        <v>0</v>
      </c>
      <c r="N289">
        <v>0</v>
      </c>
      <c r="O289">
        <v>47688</v>
      </c>
      <c r="P289">
        <v>-47688</v>
      </c>
      <c r="Q289">
        <v>91504</v>
      </c>
      <c r="R289">
        <v>20000</v>
      </c>
      <c r="S289">
        <v>22400</v>
      </c>
      <c r="T289">
        <v>22000</v>
      </c>
      <c r="U289">
        <v>155904</v>
      </c>
      <c r="V289">
        <v>-155904</v>
      </c>
      <c r="X289" t="str">
        <f>VLOOKUP(Результат[[#This Row],[Тип средств]],Таблица4[],2,0)</f>
        <v>Бюджетные средства (Бюджет муниципального образования)</v>
      </c>
      <c r="Y289" t="str">
        <f>VLOOKUP(Результат[[#This Row],[Тип средств]],Таблица4[],3,0)</f>
        <v>Местный бюджет</v>
      </c>
      <c r="Z289" t="str">
        <f>IF(LEFT(Результат[[#This Row],[ЦСР]],2)="06",VLOOKUP(Результат[[#This Row],[ЦСР]],Таблица3[[ЦСР]:[Пункт подпрограммы]],4,0),"")</f>
        <v>1.3.1</v>
      </c>
      <c r="AA289"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89" s="37" t="str">
        <f t="shared" si="4"/>
        <v>КФКиС</v>
      </c>
    </row>
    <row r="290" spans="1:29" x14ac:dyDescent="0.25">
      <c r="A290" t="s">
        <v>22</v>
      </c>
      <c r="B290">
        <v>1105</v>
      </c>
      <c r="C290" t="s">
        <v>49</v>
      </c>
      <c r="D290">
        <v>244</v>
      </c>
      <c r="E290">
        <v>400010</v>
      </c>
      <c r="F290">
        <v>226</v>
      </c>
      <c r="G290">
        <v>226005</v>
      </c>
      <c r="J290">
        <v>120</v>
      </c>
      <c r="K290">
        <v>272042601</v>
      </c>
      <c r="L290">
        <v>0</v>
      </c>
      <c r="M290">
        <v>0</v>
      </c>
      <c r="N290">
        <v>0</v>
      </c>
      <c r="O290">
        <v>0</v>
      </c>
      <c r="P290">
        <v>0</v>
      </c>
      <c r="Q290">
        <v>81996</v>
      </c>
      <c r="R290">
        <v>36000</v>
      </c>
      <c r="S290">
        <v>36000</v>
      </c>
      <c r="T290">
        <v>48000</v>
      </c>
      <c r="U290">
        <v>201996</v>
      </c>
      <c r="V290">
        <v>-201996</v>
      </c>
      <c r="X290" t="str">
        <f>VLOOKUP(Результат[[#This Row],[Тип средств]],Таблица4[],2,0)</f>
        <v>Бюджетные средства (Бюджет муниципального образования)</v>
      </c>
      <c r="Y290" t="str">
        <f>VLOOKUP(Результат[[#This Row],[Тип средств]],Таблица4[],3,0)</f>
        <v>Местный бюджет</v>
      </c>
      <c r="Z290" t="str">
        <f>IF(LEFT(Результат[[#This Row],[ЦСР]],2)="06",VLOOKUP(Результат[[#This Row],[ЦСР]],Таблица3[[ЦСР]:[Пункт подпрограммы]],4,0),"")</f>
        <v>1.3.1</v>
      </c>
      <c r="AA290"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0" s="37" t="str">
        <f t="shared" si="4"/>
        <v>КФКиС</v>
      </c>
    </row>
    <row r="291" spans="1:29" x14ac:dyDescent="0.25">
      <c r="A291" t="s">
        <v>22</v>
      </c>
      <c r="B291">
        <v>1105</v>
      </c>
      <c r="C291" t="s">
        <v>49</v>
      </c>
      <c r="D291">
        <v>244</v>
      </c>
      <c r="E291">
        <v>400010</v>
      </c>
      <c r="F291">
        <v>226</v>
      </c>
      <c r="G291">
        <v>226010</v>
      </c>
      <c r="J291">
        <v>120</v>
      </c>
      <c r="K291">
        <v>272042601</v>
      </c>
      <c r="L291">
        <v>0</v>
      </c>
      <c r="M291">
        <v>0</v>
      </c>
      <c r="N291">
        <v>0</v>
      </c>
      <c r="O291">
        <v>0</v>
      </c>
      <c r="P291">
        <v>0</v>
      </c>
      <c r="Q291">
        <v>3000</v>
      </c>
      <c r="R291">
        <v>25500</v>
      </c>
      <c r="S291">
        <v>25000</v>
      </c>
      <c r="T291">
        <v>0</v>
      </c>
      <c r="U291">
        <v>53500</v>
      </c>
      <c r="V291">
        <v>-53500</v>
      </c>
      <c r="X291" t="str">
        <f>VLOOKUP(Результат[[#This Row],[Тип средств]],Таблица4[],2,0)</f>
        <v>Бюджетные средства (Бюджет муниципального образования)</v>
      </c>
      <c r="Y291" t="str">
        <f>VLOOKUP(Результат[[#This Row],[Тип средств]],Таблица4[],3,0)</f>
        <v>Местный бюджет</v>
      </c>
      <c r="Z291" t="str">
        <f>IF(LEFT(Результат[[#This Row],[ЦСР]],2)="06",VLOOKUP(Результат[[#This Row],[ЦСР]],Таблица3[[ЦСР]:[Пункт подпрограммы]],4,0),"")</f>
        <v>1.3.1</v>
      </c>
      <c r="AA291"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1" s="37" t="str">
        <f t="shared" si="4"/>
        <v>КФКиС</v>
      </c>
    </row>
    <row r="292" spans="1:29" x14ac:dyDescent="0.25">
      <c r="A292" t="s">
        <v>22</v>
      </c>
      <c r="B292">
        <v>1105</v>
      </c>
      <c r="C292" t="s">
        <v>49</v>
      </c>
      <c r="D292">
        <v>244</v>
      </c>
      <c r="E292">
        <v>400010</v>
      </c>
      <c r="F292">
        <v>226</v>
      </c>
      <c r="G292">
        <v>226011</v>
      </c>
      <c r="J292">
        <v>120</v>
      </c>
      <c r="K292">
        <v>272042601</v>
      </c>
      <c r="L292">
        <v>0</v>
      </c>
      <c r="M292">
        <v>0</v>
      </c>
      <c r="N292">
        <v>0</v>
      </c>
      <c r="O292">
        <v>0</v>
      </c>
      <c r="P292">
        <v>0</v>
      </c>
      <c r="Q292">
        <v>0</v>
      </c>
      <c r="R292">
        <v>0</v>
      </c>
      <c r="S292">
        <v>0</v>
      </c>
      <c r="T292">
        <v>81200</v>
      </c>
      <c r="U292">
        <v>81200</v>
      </c>
      <c r="V292">
        <v>-81200</v>
      </c>
      <c r="X292" t="str">
        <f>VLOOKUP(Результат[[#This Row],[Тип средств]],Таблица4[],2,0)</f>
        <v>Бюджетные средства (Бюджет муниципального образования)</v>
      </c>
      <c r="Y292" t="str">
        <f>VLOOKUP(Результат[[#This Row],[Тип средств]],Таблица4[],3,0)</f>
        <v>Местный бюджет</v>
      </c>
      <c r="Z292" t="str">
        <f>IF(LEFT(Результат[[#This Row],[ЦСР]],2)="06",VLOOKUP(Результат[[#This Row],[ЦСР]],Таблица3[[ЦСР]:[Пункт подпрограммы]],4,0),"")</f>
        <v>1.3.1</v>
      </c>
      <c r="AA292"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2" s="37" t="str">
        <f t="shared" si="4"/>
        <v>КФКиС</v>
      </c>
    </row>
    <row r="293" spans="1:29" x14ac:dyDescent="0.25">
      <c r="A293" t="s">
        <v>22</v>
      </c>
      <c r="B293">
        <v>1105</v>
      </c>
      <c r="C293" t="s">
        <v>49</v>
      </c>
      <c r="D293">
        <v>244</v>
      </c>
      <c r="E293">
        <v>400010</v>
      </c>
      <c r="F293">
        <v>226</v>
      </c>
      <c r="G293">
        <v>226012</v>
      </c>
      <c r="J293">
        <v>120</v>
      </c>
      <c r="K293">
        <v>272042601</v>
      </c>
      <c r="L293">
        <v>0</v>
      </c>
      <c r="M293">
        <v>0</v>
      </c>
      <c r="N293">
        <v>0</v>
      </c>
      <c r="O293">
        <v>0</v>
      </c>
      <c r="P293">
        <v>0</v>
      </c>
      <c r="Q293">
        <v>0</v>
      </c>
      <c r="R293">
        <v>0</v>
      </c>
      <c r="S293">
        <v>31400</v>
      </c>
      <c r="T293">
        <v>0</v>
      </c>
      <c r="U293">
        <v>31400</v>
      </c>
      <c r="V293">
        <v>-31400</v>
      </c>
      <c r="X293" t="str">
        <f>VLOOKUP(Результат[[#This Row],[Тип средств]],Таблица4[],2,0)</f>
        <v>Бюджетные средства (Бюджет муниципального образования)</v>
      </c>
      <c r="Y293" t="str">
        <f>VLOOKUP(Результат[[#This Row],[Тип средств]],Таблица4[],3,0)</f>
        <v>Местный бюджет</v>
      </c>
      <c r="Z293" t="str">
        <f>IF(LEFT(Результат[[#This Row],[ЦСР]],2)="06",VLOOKUP(Результат[[#This Row],[ЦСР]],Таблица3[[ЦСР]:[Пункт подпрограммы]],4,0),"")</f>
        <v>1.3.1</v>
      </c>
      <c r="AA293"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3" s="37" t="str">
        <f t="shared" si="4"/>
        <v>КФКиС</v>
      </c>
    </row>
    <row r="294" spans="1:29" x14ac:dyDescent="0.25">
      <c r="A294" t="s">
        <v>22</v>
      </c>
      <c r="B294">
        <v>1105</v>
      </c>
      <c r="C294" t="s">
        <v>49</v>
      </c>
      <c r="D294">
        <v>244</v>
      </c>
      <c r="E294">
        <v>400010</v>
      </c>
      <c r="F294">
        <v>346</v>
      </c>
      <c r="G294">
        <v>346001</v>
      </c>
      <c r="J294">
        <v>110</v>
      </c>
      <c r="K294">
        <v>272042601</v>
      </c>
      <c r="L294">
        <v>0</v>
      </c>
      <c r="M294">
        <v>0</v>
      </c>
      <c r="N294">
        <v>0</v>
      </c>
      <c r="O294">
        <v>0</v>
      </c>
      <c r="P294">
        <v>0</v>
      </c>
      <c r="Q294">
        <v>0</v>
      </c>
      <c r="R294">
        <v>68700</v>
      </c>
      <c r="S294">
        <v>0</v>
      </c>
      <c r="T294">
        <v>0</v>
      </c>
      <c r="U294">
        <v>68700</v>
      </c>
      <c r="V294">
        <v>-68700</v>
      </c>
      <c r="X294" t="str">
        <f>VLOOKUP(Результат[[#This Row],[Тип средств]],Таблица4[],2,0)</f>
        <v>Бюджетные средства (Бюджет муниципального образования)</v>
      </c>
      <c r="Y294" t="str">
        <f>VLOOKUP(Результат[[#This Row],[Тип средств]],Таблица4[],3,0)</f>
        <v>Местный бюджет</v>
      </c>
      <c r="Z294" t="str">
        <f>IF(LEFT(Результат[[#This Row],[ЦСР]],2)="06",VLOOKUP(Результат[[#This Row],[ЦСР]],Таблица3[[ЦСР]:[Пункт подпрограммы]],4,0),"")</f>
        <v>1.3.1</v>
      </c>
      <c r="AA294"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4" s="37" t="str">
        <f t="shared" si="4"/>
        <v>КФКиС</v>
      </c>
    </row>
    <row r="295" spans="1:29" x14ac:dyDescent="0.25">
      <c r="A295" t="s">
        <v>22</v>
      </c>
      <c r="B295">
        <v>1105</v>
      </c>
      <c r="C295" t="s">
        <v>50</v>
      </c>
      <c r="D295">
        <v>244</v>
      </c>
      <c r="E295">
        <v>400010</v>
      </c>
      <c r="F295">
        <v>226</v>
      </c>
      <c r="G295">
        <v>226010</v>
      </c>
      <c r="J295">
        <v>120</v>
      </c>
      <c r="K295">
        <v>272042515</v>
      </c>
      <c r="L295">
        <v>0</v>
      </c>
      <c r="M295">
        <v>0</v>
      </c>
      <c r="N295">
        <v>0</v>
      </c>
      <c r="O295">
        <v>0</v>
      </c>
      <c r="P295">
        <v>0</v>
      </c>
      <c r="Q295">
        <v>0</v>
      </c>
      <c r="R295">
        <v>20000</v>
      </c>
      <c r="S295">
        <v>0</v>
      </c>
      <c r="T295">
        <v>0</v>
      </c>
      <c r="U295">
        <v>20000</v>
      </c>
      <c r="V295">
        <v>-20000</v>
      </c>
      <c r="X295" t="str">
        <f>VLOOKUP(Результат[[#This Row],[Тип средств]],Таблица4[],2,0)</f>
        <v>Бюджетные средства (Бюджет муниципального образования)</v>
      </c>
      <c r="Y295" t="str">
        <f>VLOOKUP(Результат[[#This Row],[Тип средств]],Таблица4[],3,0)</f>
        <v>Местный бюджет</v>
      </c>
      <c r="Z295" t="str">
        <f>IF(LEFT(Результат[[#This Row],[ЦСР]],2)="06",VLOOKUP(Результат[[#This Row],[ЦСР]],Таблица3[[ЦСР]:[Пункт подпрограммы]],4,0),"")</f>
        <v/>
      </c>
      <c r="AA295" t="str">
        <f>IF(LEFT(Результат[[#This Row],[Пункт подпрограммы]],1)="1","Развитие физической культуры и спорта в городе Нефтеюганске","")</f>
        <v/>
      </c>
      <c r="AB295" s="3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95" s="37" t="str">
        <f t="shared" si="4"/>
        <v>КФКиС</v>
      </c>
    </row>
    <row r="296" spans="1:29" x14ac:dyDescent="0.25">
      <c r="A296" t="s">
        <v>1387</v>
      </c>
      <c r="U296" s="2">
        <f>SUBTOTAL(109,Результат[КП ПБС 2023 год])</f>
        <v>711884701</v>
      </c>
      <c r="X296">
        <f>SUBTOTAL(103,Результат[тип средств2])</f>
        <v>289</v>
      </c>
    </row>
    <row r="299" spans="1:29" x14ac:dyDescent="0.25">
      <c r="U29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93791-8BA5-4DD6-A574-2B7BB31B7F47}">
  <sheetPr>
    <pageSetUpPr fitToPage="1"/>
  </sheetPr>
  <dimension ref="A3:J12"/>
  <sheetViews>
    <sheetView workbookViewId="0">
      <selection activeCell="O1" sqref="O1"/>
    </sheetView>
  </sheetViews>
  <sheetFormatPr defaultRowHeight="15" x14ac:dyDescent="0.25"/>
  <cols>
    <col min="1" max="1" width="12.140625" customWidth="1"/>
    <col min="2" max="2" width="58.7109375" customWidth="1"/>
    <col min="3" max="3" width="15.85546875" customWidth="1"/>
    <col min="4" max="4" width="29" customWidth="1"/>
    <col min="5" max="14" width="14.5703125" customWidth="1"/>
  </cols>
  <sheetData>
    <row r="3" spans="1:10" x14ac:dyDescent="0.25">
      <c r="E3" s="5" t="s">
        <v>1396</v>
      </c>
      <c r="F3" s="5" t="s">
        <v>1447</v>
      </c>
    </row>
    <row r="4" spans="1:10" x14ac:dyDescent="0.25">
      <c r="E4" t="s">
        <v>1395</v>
      </c>
      <c r="H4" t="s">
        <v>1397</v>
      </c>
    </row>
    <row r="5" spans="1:10" x14ac:dyDescent="0.25">
      <c r="A5" s="5" t="s">
        <v>1297</v>
      </c>
      <c r="B5" s="5" t="s">
        <v>1453</v>
      </c>
      <c r="C5" s="5" t="s">
        <v>1454</v>
      </c>
      <c r="D5" s="5" t="s">
        <v>1457</v>
      </c>
      <c r="E5" t="s">
        <v>1449</v>
      </c>
      <c r="F5" t="s">
        <v>1448</v>
      </c>
      <c r="G5" t="s">
        <v>1299</v>
      </c>
      <c r="H5" t="s">
        <v>1449</v>
      </c>
      <c r="I5" t="s">
        <v>1448</v>
      </c>
      <c r="J5" t="s">
        <v>1299</v>
      </c>
    </row>
    <row r="6" spans="1:10" x14ac:dyDescent="0.25">
      <c r="A6" t="s">
        <v>1389</v>
      </c>
      <c r="B6" t="s">
        <v>1426</v>
      </c>
      <c r="C6" t="s">
        <v>1456</v>
      </c>
      <c r="D6" t="s">
        <v>1430</v>
      </c>
      <c r="E6" s="6">
        <v>745600</v>
      </c>
      <c r="F6" s="6"/>
      <c r="G6" s="6"/>
      <c r="H6" s="6">
        <v>0</v>
      </c>
      <c r="I6" s="6"/>
      <c r="J6" s="6"/>
    </row>
    <row r="7" spans="1:10" x14ac:dyDescent="0.25">
      <c r="A7" t="s">
        <v>1390</v>
      </c>
      <c r="B7" t="s">
        <v>1426</v>
      </c>
      <c r="C7" t="s">
        <v>1456</v>
      </c>
      <c r="D7" t="s">
        <v>1430</v>
      </c>
      <c r="E7" s="6">
        <v>793854</v>
      </c>
      <c r="F7" s="6">
        <v>2381560</v>
      </c>
      <c r="G7" s="6"/>
      <c r="H7" s="6">
        <v>0</v>
      </c>
      <c r="I7" s="6">
        <v>0</v>
      </c>
      <c r="J7" s="6"/>
    </row>
    <row r="8" spans="1:10" x14ac:dyDescent="0.25">
      <c r="A8" t="s">
        <v>1391</v>
      </c>
      <c r="B8" t="s">
        <v>1426</v>
      </c>
      <c r="C8" t="s">
        <v>1456</v>
      </c>
      <c r="D8" t="s">
        <v>1430</v>
      </c>
      <c r="E8" s="6">
        <v>652826871</v>
      </c>
      <c r="F8" s="6">
        <v>22128700</v>
      </c>
      <c r="G8" s="6"/>
      <c r="H8" s="6">
        <v>11187196.4</v>
      </c>
      <c r="I8" s="6">
        <v>0</v>
      </c>
      <c r="J8" s="6"/>
    </row>
    <row r="9" spans="1:10" x14ac:dyDescent="0.25">
      <c r="A9" t="s">
        <v>1392</v>
      </c>
      <c r="B9" t="s">
        <v>1426</v>
      </c>
      <c r="C9" t="s">
        <v>1456</v>
      </c>
      <c r="D9" t="s">
        <v>1430</v>
      </c>
      <c r="E9" s="6">
        <v>59047</v>
      </c>
      <c r="F9" s="6">
        <v>617000</v>
      </c>
      <c r="G9" s="6">
        <v>504900</v>
      </c>
      <c r="H9" s="6">
        <v>0</v>
      </c>
      <c r="I9" s="6">
        <v>0</v>
      </c>
      <c r="J9" s="6">
        <v>0</v>
      </c>
    </row>
    <row r="10" spans="1:10" x14ac:dyDescent="0.25">
      <c r="A10" t="s">
        <v>1393</v>
      </c>
      <c r="B10" t="s">
        <v>1426</v>
      </c>
      <c r="C10" t="s">
        <v>1455</v>
      </c>
      <c r="D10" t="s">
        <v>1430</v>
      </c>
      <c r="E10" s="6">
        <v>22320000</v>
      </c>
      <c r="F10" s="6"/>
      <c r="G10" s="6"/>
      <c r="H10" s="6">
        <v>705341.96000000008</v>
      </c>
      <c r="I10" s="6"/>
      <c r="J10" s="6"/>
    </row>
    <row r="11" spans="1:10" x14ac:dyDescent="0.25">
      <c r="A11" t="s">
        <v>1427</v>
      </c>
      <c r="B11" t="s">
        <v>1426</v>
      </c>
      <c r="C11" t="s">
        <v>1456</v>
      </c>
      <c r="D11" t="s">
        <v>1430</v>
      </c>
      <c r="E11" s="6">
        <v>6568691</v>
      </c>
      <c r="F11" s="6"/>
      <c r="G11" s="6"/>
      <c r="H11" s="6">
        <v>0</v>
      </c>
      <c r="I11" s="6"/>
      <c r="J11" s="6"/>
    </row>
    <row r="12" spans="1:10" x14ac:dyDescent="0.25">
      <c r="A12" t="s">
        <v>1394</v>
      </c>
      <c r="E12" s="6">
        <v>683314063</v>
      </c>
      <c r="F12" s="6">
        <v>25127260</v>
      </c>
      <c r="G12" s="6">
        <v>504900</v>
      </c>
      <c r="H12" s="6">
        <v>11892538.360000001</v>
      </c>
      <c r="I12" s="6">
        <v>0</v>
      </c>
      <c r="J12"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8EC9B-DF9C-42AA-87D3-5D431801A42C}">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025D4-705A-4011-A12C-9A21DDCF52E5}">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1447</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1448</v>
      </c>
    </row>
    <row r="8" spans="1:3" x14ac:dyDescent="0.25">
      <c r="A8">
        <v>200010</v>
      </c>
      <c r="B8" t="s">
        <v>1304</v>
      </c>
      <c r="C8" t="s">
        <v>1448</v>
      </c>
    </row>
    <row r="9" spans="1:3" x14ac:dyDescent="0.25">
      <c r="A9">
        <v>200011</v>
      </c>
      <c r="B9" t="s">
        <v>1305</v>
      </c>
      <c r="C9" t="s">
        <v>1448</v>
      </c>
    </row>
    <row r="10" spans="1:3" x14ac:dyDescent="0.25">
      <c r="A10">
        <v>200020</v>
      </c>
      <c r="B10" t="s">
        <v>1306</v>
      </c>
      <c r="C10" t="s">
        <v>1448</v>
      </c>
    </row>
    <row r="11" spans="1:3" x14ac:dyDescent="0.25">
      <c r="A11">
        <v>200021</v>
      </c>
      <c r="B11" t="s">
        <v>1307</v>
      </c>
      <c r="C11" t="s">
        <v>1448</v>
      </c>
    </row>
    <row r="12" spans="1:3" x14ac:dyDescent="0.25">
      <c r="A12">
        <v>200022</v>
      </c>
      <c r="B12" t="s">
        <v>1308</v>
      </c>
      <c r="C12" t="s">
        <v>1448</v>
      </c>
    </row>
    <row r="13" spans="1:3" x14ac:dyDescent="0.25">
      <c r="A13">
        <v>200030</v>
      </c>
      <c r="B13" t="s">
        <v>1309</v>
      </c>
      <c r="C13" t="s">
        <v>1448</v>
      </c>
    </row>
    <row r="14" spans="1:3" x14ac:dyDescent="0.25">
      <c r="A14">
        <v>200031</v>
      </c>
      <c r="B14" t="s">
        <v>1310</v>
      </c>
      <c r="C14" t="s">
        <v>1448</v>
      </c>
    </row>
    <row r="15" spans="1:3" x14ac:dyDescent="0.25">
      <c r="A15">
        <v>200032</v>
      </c>
      <c r="B15" t="s">
        <v>1311</v>
      </c>
      <c r="C15" t="s">
        <v>1448</v>
      </c>
    </row>
    <row r="16" spans="1:3" x14ac:dyDescent="0.25">
      <c r="A16">
        <v>200033</v>
      </c>
      <c r="B16" t="s">
        <v>1312</v>
      </c>
      <c r="C16" t="s">
        <v>1448</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1449</v>
      </c>
    </row>
    <row r="30" spans="1:3" x14ac:dyDescent="0.25">
      <c r="A30">
        <v>400010</v>
      </c>
      <c r="B30" t="s">
        <v>1326</v>
      </c>
      <c r="C30" t="s">
        <v>1449</v>
      </c>
    </row>
    <row r="31" spans="1:3" x14ac:dyDescent="0.25">
      <c r="A31">
        <v>400011</v>
      </c>
      <c r="B31" t="s">
        <v>1327</v>
      </c>
      <c r="C31" t="s">
        <v>1449</v>
      </c>
    </row>
    <row r="32" spans="1:3" x14ac:dyDescent="0.25">
      <c r="A32">
        <v>400020</v>
      </c>
      <c r="B32" t="s">
        <v>1328</v>
      </c>
      <c r="C32" t="s">
        <v>1449</v>
      </c>
    </row>
    <row r="33" spans="1:3" x14ac:dyDescent="0.25">
      <c r="A33">
        <v>400040</v>
      </c>
      <c r="B33" t="s">
        <v>1329</v>
      </c>
      <c r="C33" t="s">
        <v>1449</v>
      </c>
    </row>
    <row r="34" spans="1:3" x14ac:dyDescent="0.25">
      <c r="A34">
        <v>400050</v>
      </c>
      <c r="B34" t="s">
        <v>1330</v>
      </c>
      <c r="C34" t="s">
        <v>1449</v>
      </c>
    </row>
    <row r="35" spans="1:3" x14ac:dyDescent="0.25">
      <c r="A35">
        <v>400051</v>
      </c>
      <c r="B35" t="s">
        <v>1331</v>
      </c>
      <c r="C35" t="s">
        <v>1449</v>
      </c>
    </row>
    <row r="36" spans="1:3" x14ac:dyDescent="0.25">
      <c r="A36">
        <v>400052</v>
      </c>
      <c r="B36" t="s">
        <v>1332</v>
      </c>
      <c r="C36" t="s">
        <v>1449</v>
      </c>
    </row>
    <row r="37" spans="1:3" x14ac:dyDescent="0.25">
      <c r="A37">
        <v>400053</v>
      </c>
      <c r="B37" t="s">
        <v>1333</v>
      </c>
      <c r="C37" t="s">
        <v>1449</v>
      </c>
    </row>
    <row r="38" spans="1:3" x14ac:dyDescent="0.25">
      <c r="A38">
        <v>400054</v>
      </c>
      <c r="B38" t="s">
        <v>1334</v>
      </c>
      <c r="C38" t="s">
        <v>1449</v>
      </c>
    </row>
    <row r="39" spans="1:3" x14ac:dyDescent="0.25">
      <c r="A39">
        <v>400060</v>
      </c>
      <c r="B39" t="s">
        <v>1335</v>
      </c>
      <c r="C39" t="s">
        <v>1449</v>
      </c>
    </row>
    <row r="40" spans="1:3" x14ac:dyDescent="0.25">
      <c r="A40">
        <v>400070</v>
      </c>
      <c r="B40" t="s">
        <v>1336</v>
      </c>
      <c r="C40" t="s">
        <v>1449</v>
      </c>
    </row>
    <row r="41" spans="1:3" x14ac:dyDescent="0.25">
      <c r="A41">
        <v>400080</v>
      </c>
      <c r="B41" t="s">
        <v>1337</v>
      </c>
      <c r="C41" t="s">
        <v>1449</v>
      </c>
    </row>
    <row r="42" spans="1:3" x14ac:dyDescent="0.25">
      <c r="A42">
        <v>400090</v>
      </c>
      <c r="B42" t="s">
        <v>1338</v>
      </c>
      <c r="C42" t="s">
        <v>1449</v>
      </c>
    </row>
    <row r="43" spans="1:3" x14ac:dyDescent="0.25">
      <c r="A43">
        <v>400100</v>
      </c>
      <c r="B43" t="s">
        <v>1339</v>
      </c>
      <c r="C43" t="s">
        <v>1449</v>
      </c>
    </row>
    <row r="44" spans="1:3" x14ac:dyDescent="0.25">
      <c r="A44">
        <v>500000</v>
      </c>
      <c r="B44" t="s">
        <v>1340</v>
      </c>
      <c r="C44" t="s">
        <v>1450</v>
      </c>
    </row>
    <row r="45" spans="1:3" x14ac:dyDescent="0.25">
      <c r="A45">
        <v>500010</v>
      </c>
      <c r="B45" t="s">
        <v>1341</v>
      </c>
      <c r="C45" t="s">
        <v>1450</v>
      </c>
    </row>
    <row r="46" spans="1:3" x14ac:dyDescent="0.25">
      <c r="A46">
        <v>500020</v>
      </c>
      <c r="B46" t="s">
        <v>1342</v>
      </c>
      <c r="C46" t="s">
        <v>1450</v>
      </c>
    </row>
    <row r="47" spans="1:3" x14ac:dyDescent="0.25">
      <c r="A47">
        <v>530010</v>
      </c>
      <c r="B47" t="s">
        <v>1343</v>
      </c>
      <c r="C47" t="s">
        <v>1450</v>
      </c>
    </row>
    <row r="48" spans="1:3" x14ac:dyDescent="0.25">
      <c r="A48">
        <v>530020</v>
      </c>
      <c r="B48" t="s">
        <v>1344</v>
      </c>
      <c r="C48" t="s">
        <v>1450</v>
      </c>
    </row>
    <row r="49" spans="1:3" x14ac:dyDescent="0.25">
      <c r="A49">
        <v>600000</v>
      </c>
      <c r="B49" t="s">
        <v>1345</v>
      </c>
    </row>
    <row r="50" spans="1:3" x14ac:dyDescent="0.25">
      <c r="A50">
        <v>640001</v>
      </c>
      <c r="B50" t="s">
        <v>1346</v>
      </c>
      <c r="C50" t="s">
        <v>1449</v>
      </c>
    </row>
    <row r="51" spans="1:3" x14ac:dyDescent="0.25">
      <c r="A51">
        <v>640002</v>
      </c>
      <c r="B51" t="s">
        <v>1347</v>
      </c>
      <c r="C51" t="s">
        <v>1451</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1448</v>
      </c>
    </row>
    <row r="57" spans="1:3" x14ac:dyDescent="0.25">
      <c r="A57">
        <v>640220</v>
      </c>
      <c r="B57" t="s">
        <v>1353</v>
      </c>
      <c r="C57" t="s">
        <v>1448</v>
      </c>
    </row>
    <row r="58" spans="1:3" x14ac:dyDescent="0.25">
      <c r="A58">
        <v>640230</v>
      </c>
      <c r="B58" t="s">
        <v>1354</v>
      </c>
      <c r="C58" t="s">
        <v>1448</v>
      </c>
    </row>
    <row r="59" spans="1:3" x14ac:dyDescent="0.25">
      <c r="A59">
        <v>640231</v>
      </c>
      <c r="B59" t="s">
        <v>1355</v>
      </c>
      <c r="C59" t="s">
        <v>1448</v>
      </c>
    </row>
    <row r="60" spans="1:3" x14ac:dyDescent="0.25">
      <c r="A60">
        <v>640232</v>
      </c>
      <c r="B60" t="s">
        <v>1356</v>
      </c>
      <c r="C60" t="s">
        <v>1448</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1449</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1448</v>
      </c>
    </row>
    <row r="73" spans="1:3" x14ac:dyDescent="0.25">
      <c r="A73">
        <v>750220</v>
      </c>
      <c r="B73" t="s">
        <v>1369</v>
      </c>
      <c r="C73" t="s">
        <v>1448</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1452</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7137C-88C1-4662-998F-DC56B4B729A2}">
  <sheetPr>
    <pageSetUpPr fitToPage="1"/>
  </sheetPr>
  <dimension ref="A1:U30"/>
  <sheetViews>
    <sheetView tabSelected="1" view="pageBreakPreview" zoomScale="55" zoomScaleNormal="60" zoomScaleSheetLayoutView="55" workbookViewId="0">
      <pane xSplit="3" ySplit="4" topLeftCell="D5" activePane="bottomRight" state="frozen"/>
      <selection pane="topRight" activeCell="D1" sqref="D1"/>
      <selection pane="bottomLeft" activeCell="A5" sqref="A5"/>
      <selection pane="bottomRight" activeCell="H34" sqref="H34"/>
    </sheetView>
  </sheetViews>
  <sheetFormatPr defaultColWidth="9.140625" defaultRowHeight="18.75" outlineLevelRow="1" x14ac:dyDescent="0.25"/>
  <cols>
    <col min="1" max="1" width="10" style="3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31" customWidth="1"/>
    <col min="9" max="9" width="23.28515625" style="31" customWidth="1"/>
    <col min="10" max="10" width="21.7109375" style="31" customWidth="1"/>
    <col min="11" max="11" width="23.140625" style="31" customWidth="1"/>
    <col min="12" max="12" width="13.85546875" style="32" customWidth="1"/>
    <col min="13" max="13" width="14.42578125" style="32" customWidth="1"/>
    <col min="14" max="14" width="15.85546875" style="32" customWidth="1"/>
    <col min="15" max="15" width="13.5703125" style="3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5" t="s">
        <v>1398</v>
      </c>
      <c r="B1" s="56"/>
      <c r="C1" s="56"/>
      <c r="D1" s="56"/>
      <c r="E1" s="56"/>
      <c r="F1" s="56"/>
      <c r="G1" s="56"/>
      <c r="H1" s="56"/>
      <c r="I1" s="56"/>
      <c r="J1" s="56"/>
      <c r="K1" s="56"/>
      <c r="L1" s="56"/>
      <c r="M1" s="56"/>
      <c r="N1" s="56"/>
      <c r="O1" s="56"/>
    </row>
    <row r="2" spans="1:21" ht="57" customHeight="1" x14ac:dyDescent="0.25">
      <c r="A2" s="57" t="s">
        <v>1399</v>
      </c>
      <c r="B2" s="8" t="s">
        <v>1400</v>
      </c>
      <c r="C2" s="58" t="s">
        <v>1401</v>
      </c>
      <c r="D2" s="59" t="s">
        <v>1402</v>
      </c>
      <c r="E2" s="59"/>
      <c r="F2" s="59"/>
      <c r="G2" s="59"/>
      <c r="H2" s="60" t="s">
        <v>1403</v>
      </c>
      <c r="I2" s="60"/>
      <c r="J2" s="60"/>
      <c r="K2" s="60"/>
      <c r="L2" s="61" t="s">
        <v>1404</v>
      </c>
      <c r="M2" s="62"/>
      <c r="N2" s="62"/>
      <c r="O2" s="63"/>
      <c r="T2" s="9"/>
    </row>
    <row r="3" spans="1:21" ht="55.5" customHeight="1" x14ac:dyDescent="0.25">
      <c r="A3" s="57"/>
      <c r="B3" s="10" t="s">
        <v>1405</v>
      </c>
      <c r="C3" s="58"/>
      <c r="D3" s="11" t="s">
        <v>1406</v>
      </c>
      <c r="E3" s="11" t="s">
        <v>1407</v>
      </c>
      <c r="F3" s="11" t="s">
        <v>1408</v>
      </c>
      <c r="G3" s="11" t="s">
        <v>1409</v>
      </c>
      <c r="H3" s="11" t="s">
        <v>1406</v>
      </c>
      <c r="I3" s="11" t="s">
        <v>1407</v>
      </c>
      <c r="J3" s="11" t="s">
        <v>1408</v>
      </c>
      <c r="K3" s="11" t="s">
        <v>1409</v>
      </c>
      <c r="L3" s="12" t="s">
        <v>1406</v>
      </c>
      <c r="M3" s="12" t="s">
        <v>1407</v>
      </c>
      <c r="N3" s="12" t="s">
        <v>1408</v>
      </c>
      <c r="O3" s="12" t="s">
        <v>1409</v>
      </c>
      <c r="T3" s="13"/>
    </row>
    <row r="4" spans="1:21" x14ac:dyDescent="0.25">
      <c r="A4" s="14" t="s">
        <v>1410</v>
      </c>
      <c r="B4" s="14" t="s">
        <v>1411</v>
      </c>
      <c r="C4" s="14" t="s">
        <v>1412</v>
      </c>
      <c r="D4" s="14" t="s">
        <v>1413</v>
      </c>
      <c r="E4" s="14" t="s">
        <v>1414</v>
      </c>
      <c r="F4" s="14" t="s">
        <v>1415</v>
      </c>
      <c r="G4" s="14" t="s">
        <v>1416</v>
      </c>
      <c r="H4" s="14" t="s">
        <v>1417</v>
      </c>
      <c r="I4" s="14" t="s">
        <v>1418</v>
      </c>
      <c r="J4" s="14" t="s">
        <v>1419</v>
      </c>
      <c r="K4" s="14" t="s">
        <v>1420</v>
      </c>
      <c r="L4" s="14" t="s">
        <v>1421</v>
      </c>
      <c r="M4" s="14" t="s">
        <v>1422</v>
      </c>
      <c r="N4" s="14" t="s">
        <v>1423</v>
      </c>
      <c r="O4" s="14" t="s">
        <v>1424</v>
      </c>
    </row>
    <row r="5" spans="1:21" s="15" customFormat="1" ht="30.75" customHeight="1" x14ac:dyDescent="0.25">
      <c r="A5" s="48" t="s">
        <v>1425</v>
      </c>
      <c r="B5" s="49"/>
      <c r="C5" s="49"/>
      <c r="D5" s="49"/>
      <c r="E5" s="49"/>
      <c r="F5" s="49"/>
      <c r="G5" s="49"/>
      <c r="H5" s="49"/>
      <c r="I5" s="49"/>
      <c r="J5" s="49"/>
      <c r="K5" s="49"/>
      <c r="L5" s="49"/>
      <c r="M5" s="49"/>
      <c r="N5" s="49"/>
      <c r="O5" s="49"/>
      <c r="T5" s="16"/>
    </row>
    <row r="6" spans="1:21" ht="49.7" customHeight="1" x14ac:dyDescent="0.25">
      <c r="A6" s="38" t="s">
        <v>1410</v>
      </c>
      <c r="B6" s="50" t="s">
        <v>1426</v>
      </c>
      <c r="C6" s="50"/>
      <c r="D6" s="39">
        <f>D7+D14+D18</f>
        <v>1170169195</v>
      </c>
      <c r="E6" s="39">
        <f t="shared" ref="E6:K6" si="0">E7+E14+E18</f>
        <v>426257660</v>
      </c>
      <c r="F6" s="39">
        <f t="shared" si="0"/>
        <v>504900</v>
      </c>
      <c r="G6" s="39">
        <f t="shared" si="0"/>
        <v>743406635</v>
      </c>
      <c r="H6" s="39">
        <f>H7+H14+H18</f>
        <v>11892538.360000001</v>
      </c>
      <c r="I6" s="39">
        <f t="shared" si="0"/>
        <v>0</v>
      </c>
      <c r="J6" s="39">
        <f t="shared" si="0"/>
        <v>0</v>
      </c>
      <c r="K6" s="39">
        <f t="shared" si="0"/>
        <v>11892538.360000001</v>
      </c>
      <c r="L6" s="47">
        <f>IFERROR(H6/D6,0)</f>
        <v>1.0163093004682969E-2</v>
      </c>
      <c r="M6" s="47">
        <f>IFERROR(I6/E6,0)</f>
        <v>0</v>
      </c>
      <c r="N6" s="47">
        <f>IFERROR(J6/F6,0)</f>
        <v>0</v>
      </c>
      <c r="O6" s="47">
        <f>IFERROR(K6/G6,0)</f>
        <v>1.5997352996452611E-2</v>
      </c>
    </row>
    <row r="7" spans="1:21" ht="79.5" customHeight="1" x14ac:dyDescent="0.25">
      <c r="A7" s="38" t="s">
        <v>1388</v>
      </c>
      <c r="B7" s="41" t="s">
        <v>599</v>
      </c>
      <c r="C7" s="41"/>
      <c r="D7" s="39">
        <f>SUM(D8:D13)</f>
        <v>686925393</v>
      </c>
      <c r="E7" s="39">
        <f t="shared" ref="E7:J7" si="1">SUM(E8:E13)</f>
        <v>25127260</v>
      </c>
      <c r="F7" s="39">
        <f t="shared" si="1"/>
        <v>504900</v>
      </c>
      <c r="G7" s="39">
        <f t="shared" si="1"/>
        <v>661293233</v>
      </c>
      <c r="H7" s="39">
        <f>SUM(H8:H13)</f>
        <v>11187196.4</v>
      </c>
      <c r="I7" s="39">
        <f t="shared" si="1"/>
        <v>0</v>
      </c>
      <c r="J7" s="39">
        <f t="shared" si="1"/>
        <v>0</v>
      </c>
      <c r="K7" s="39">
        <f>SUM(K8:K13)</f>
        <v>11187196.4</v>
      </c>
      <c r="L7" s="47">
        <f t="shared" ref="L7:L20" si="2">IFERROR(H7/D7,0)</f>
        <v>1.6285897295399591E-2</v>
      </c>
      <c r="M7" s="47">
        <f t="shared" ref="M7:M20" si="3">IFERROR(I7/E7,0)</f>
        <v>0</v>
      </c>
      <c r="N7" s="47">
        <f t="shared" ref="N7:N20" si="4">IFERROR(J7/F7,0)</f>
        <v>0</v>
      </c>
      <c r="O7" s="47">
        <f t="shared" ref="O7:O20" si="5">IFERROR(K7/G7,0)</f>
        <v>1.69171493699528E-2</v>
      </c>
    </row>
    <row r="8" spans="1:21" ht="55.5" customHeight="1" x14ac:dyDescent="0.25">
      <c r="A8" s="51" t="s">
        <v>1427</v>
      </c>
      <c r="B8" s="53" t="s">
        <v>1428</v>
      </c>
      <c r="C8" s="19" t="s">
        <v>1429</v>
      </c>
      <c r="D8" s="43">
        <f>SUM(E8:G8)</f>
        <v>299170</v>
      </c>
      <c r="E8" s="20">
        <v>0</v>
      </c>
      <c r="F8" s="20">
        <v>0</v>
      </c>
      <c r="G8" s="20">
        <v>299170</v>
      </c>
      <c r="H8" s="40">
        <f t="shared" ref="H8:H13" si="6">SUM(I8:K8)</f>
        <v>0</v>
      </c>
      <c r="I8" s="21">
        <v>0</v>
      </c>
      <c r="J8" s="21">
        <v>0</v>
      </c>
      <c r="K8" s="21">
        <v>0</v>
      </c>
      <c r="L8" s="47">
        <f t="shared" si="2"/>
        <v>0</v>
      </c>
      <c r="M8" s="47">
        <f t="shared" si="3"/>
        <v>0</v>
      </c>
      <c r="N8" s="47">
        <f t="shared" si="4"/>
        <v>0</v>
      </c>
      <c r="O8" s="47">
        <f t="shared" si="5"/>
        <v>0</v>
      </c>
    </row>
    <row r="9" spans="1:21" ht="83.1" customHeight="1" x14ac:dyDescent="0.25">
      <c r="A9" s="52"/>
      <c r="B9" s="54"/>
      <c r="C9" s="19" t="s">
        <v>1430</v>
      </c>
      <c r="D9" s="43">
        <f>SUM(E9:G9)</f>
        <v>6568691</v>
      </c>
      <c r="E9" s="44">
        <f>SUMIF(Свод!A:A,"1.1.1",Свод!F:F)</f>
        <v>0</v>
      </c>
      <c r="F9" s="44">
        <f>SUMIF(Свод!A:A,"1.1.1",Свод!G:G)</f>
        <v>0</v>
      </c>
      <c r="G9" s="44">
        <f>SUMIF(Свод!A:A,"1.1.1",Свод!E:E)</f>
        <v>6568691</v>
      </c>
      <c r="H9" s="40">
        <f t="shared" si="6"/>
        <v>0</v>
      </c>
      <c r="I9" s="46">
        <f>SUMIF(Свод!A:A,"1.1.1",Свод!I:I)</f>
        <v>0</v>
      </c>
      <c r="J9" s="46">
        <f>SUMIF(Свод!A:A,"1.1.1",Свод!J:J)</f>
        <v>0</v>
      </c>
      <c r="K9" s="46">
        <f>SUMIF(Свод!A:A,"1.1.1",Свод!H:H)</f>
        <v>0</v>
      </c>
      <c r="L9" s="47">
        <f t="shared" si="2"/>
        <v>0</v>
      </c>
      <c r="M9" s="47">
        <f t="shared" si="3"/>
        <v>0</v>
      </c>
      <c r="N9" s="47">
        <f t="shared" si="4"/>
        <v>0</v>
      </c>
      <c r="O9" s="47">
        <f t="shared" si="5"/>
        <v>0</v>
      </c>
      <c r="T9" s="9"/>
      <c r="U9" s="9"/>
    </row>
    <row r="10" spans="1:21" ht="42" customHeight="1" x14ac:dyDescent="0.25">
      <c r="A10" s="22" t="s">
        <v>1389</v>
      </c>
      <c r="B10" s="23" t="s">
        <v>547</v>
      </c>
      <c r="C10" s="19" t="s">
        <v>1430</v>
      </c>
      <c r="D10" s="43">
        <f t="shared" ref="D10:D13" si="7">SUM(E10:G10)</f>
        <v>745600</v>
      </c>
      <c r="E10" s="44">
        <f>SUMIF(Свод!A:A,"1.1.2",Свод!F:F)</f>
        <v>0</v>
      </c>
      <c r="F10" s="44">
        <f>SUMIF(Свод!A:A,"1.1.2",Свод!G:G)</f>
        <v>0</v>
      </c>
      <c r="G10" s="44">
        <f>SUMIF(Свод!A:A,"1.1.2",Свод!E:E)</f>
        <v>745600</v>
      </c>
      <c r="H10" s="40">
        <f t="shared" si="6"/>
        <v>0</v>
      </c>
      <c r="I10" s="46">
        <f>SUMIF(Свод!A:A,"1.1.2",Свод!I:I)</f>
        <v>0</v>
      </c>
      <c r="J10" s="46">
        <f>SUMIF(Свод!A:A,"1.1.2",Свод!J:J)</f>
        <v>0</v>
      </c>
      <c r="K10" s="44">
        <f>SUMIF(Свод!A:A,"1.1.2",Свод!H:H)</f>
        <v>0</v>
      </c>
      <c r="L10" s="47">
        <f t="shared" si="2"/>
        <v>0</v>
      </c>
      <c r="M10" s="47">
        <f t="shared" si="3"/>
        <v>0</v>
      </c>
      <c r="N10" s="47">
        <f t="shared" si="4"/>
        <v>0</v>
      </c>
      <c r="O10" s="47">
        <f t="shared" si="5"/>
        <v>0</v>
      </c>
      <c r="T10" s="9"/>
      <c r="U10" s="9"/>
    </row>
    <row r="11" spans="1:21" ht="137.44999999999999" customHeight="1" x14ac:dyDescent="0.25">
      <c r="A11" s="24" t="s">
        <v>1390</v>
      </c>
      <c r="B11" s="23" t="s">
        <v>603</v>
      </c>
      <c r="C11" s="19" t="s">
        <v>1430</v>
      </c>
      <c r="D11" s="43">
        <f>SUM(E11:G11)</f>
        <v>3175414</v>
      </c>
      <c r="E11" s="44">
        <f>SUMIF(Свод!A:A,"1.1.3",Свод!F:F)</f>
        <v>2381560</v>
      </c>
      <c r="F11" s="44">
        <f>SUMIF(Свод!A:A,"1.1.3",Свод!G:G)</f>
        <v>0</v>
      </c>
      <c r="G11" s="44">
        <f>SUMIF(Свод!A:A,"1.1.3",Свод!E:E)</f>
        <v>793854</v>
      </c>
      <c r="H11" s="40">
        <f t="shared" si="6"/>
        <v>0</v>
      </c>
      <c r="I11" s="46">
        <f>SUMIF(Свод!A:A,"1.1.3",Свод!I:I)</f>
        <v>0</v>
      </c>
      <c r="J11" s="46">
        <f>SUMIF(Свод!A:A,"1.1.3",Свод!J:J)</f>
        <v>0</v>
      </c>
      <c r="K11" s="46">
        <f>SUMIF(Свод!A:A,"1.1.3",Свод!H:H)</f>
        <v>0</v>
      </c>
      <c r="L11" s="47">
        <f t="shared" si="2"/>
        <v>0</v>
      </c>
      <c r="M11" s="47">
        <f t="shared" si="3"/>
        <v>0</v>
      </c>
      <c r="N11" s="47">
        <f t="shared" si="4"/>
        <v>0</v>
      </c>
      <c r="O11" s="47">
        <f t="shared" si="5"/>
        <v>0</v>
      </c>
    </row>
    <row r="12" spans="1:21" ht="62.85" customHeight="1" x14ac:dyDescent="0.25">
      <c r="A12" s="22" t="s">
        <v>1391</v>
      </c>
      <c r="B12" s="23" t="s">
        <v>1431</v>
      </c>
      <c r="C12" s="19" t="s">
        <v>1430</v>
      </c>
      <c r="D12" s="43">
        <f t="shared" si="7"/>
        <v>674955571</v>
      </c>
      <c r="E12" s="44">
        <f>SUMIF(Свод!A:A,"1.1.4",Свод!F:F)</f>
        <v>22128700</v>
      </c>
      <c r="F12" s="44">
        <f>SUMIF(Свод!A:A,"1.1.4",Свод!G:G)</f>
        <v>0</v>
      </c>
      <c r="G12" s="44">
        <f>SUMIF(Свод!A:A,"1.1.4",Свод!E:E)</f>
        <v>652826871</v>
      </c>
      <c r="H12" s="40">
        <f t="shared" si="6"/>
        <v>11187196.4</v>
      </c>
      <c r="I12" s="46">
        <f>SUMIF(Свод!A:A,"1.1.4",Свод!I:I)</f>
        <v>0</v>
      </c>
      <c r="J12" s="46">
        <f>SUMIF(Свод!A:A,"1.1.4",Свод!J:J)</f>
        <v>0</v>
      </c>
      <c r="K12" s="46">
        <f>SUMIF(Свод!A:A,"1.1.4",Свод!H:H)</f>
        <v>11187196.4</v>
      </c>
      <c r="L12" s="47">
        <f t="shared" si="2"/>
        <v>1.6574715256332036E-2</v>
      </c>
      <c r="M12" s="47">
        <f t="shared" si="3"/>
        <v>0</v>
      </c>
      <c r="N12" s="47">
        <f t="shared" si="4"/>
        <v>0</v>
      </c>
      <c r="O12" s="47">
        <f t="shared" si="5"/>
        <v>1.7136544001112357E-2</v>
      </c>
      <c r="T12" s="9"/>
    </row>
    <row r="13" spans="1:21" ht="62.85" customHeight="1" x14ac:dyDescent="0.25">
      <c r="A13" s="22" t="s">
        <v>1392</v>
      </c>
      <c r="B13" s="23" t="s">
        <v>609</v>
      </c>
      <c r="C13" s="19" t="s">
        <v>1430</v>
      </c>
      <c r="D13" s="43">
        <f t="shared" si="7"/>
        <v>1180947</v>
      </c>
      <c r="E13" s="44">
        <f>SUMIF(Свод!A:A,"1.1.5",Свод!F:F)</f>
        <v>617000</v>
      </c>
      <c r="F13" s="44">
        <f>SUMIF(Свод!A:A,"1.1.5",Свод!G:G)</f>
        <v>504900</v>
      </c>
      <c r="G13" s="44">
        <f>SUMIF(Свод!A:A,"1.1.5",Свод!E:E)</f>
        <v>59047</v>
      </c>
      <c r="H13" s="40">
        <f t="shared" si="6"/>
        <v>0</v>
      </c>
      <c r="I13" s="44">
        <f>SUMIF(Свод!A:A,"1.1.4",Свод!I:I)</f>
        <v>0</v>
      </c>
      <c r="J13" s="44">
        <f>SUMIF(Свод!A:A,"1.1.5",Свод!J:J)</f>
        <v>0</v>
      </c>
      <c r="K13" s="44">
        <f>SUMIF(Свод!A:A,"1.1.5",Свод!H:H)</f>
        <v>0</v>
      </c>
      <c r="L13" s="47">
        <f t="shared" si="2"/>
        <v>0</v>
      </c>
      <c r="M13" s="47">
        <f t="shared" si="3"/>
        <v>0</v>
      </c>
      <c r="N13" s="47">
        <f t="shared" si="4"/>
        <v>0</v>
      </c>
      <c r="O13" s="47">
        <f t="shared" si="5"/>
        <v>0</v>
      </c>
    </row>
    <row r="14" spans="1:21" s="15" customFormat="1" ht="69" customHeight="1" x14ac:dyDescent="0.25">
      <c r="A14" s="17" t="s">
        <v>1432</v>
      </c>
      <c r="B14" s="18" t="s">
        <v>611</v>
      </c>
      <c r="C14" s="25"/>
      <c r="D14" s="43">
        <f>SUM(D15:D17)</f>
        <v>460923802</v>
      </c>
      <c r="E14" s="45">
        <f t="shared" ref="E14:K14" si="8">SUM(E15:E17)</f>
        <v>401130400</v>
      </c>
      <c r="F14" s="45">
        <f t="shared" si="8"/>
        <v>0</v>
      </c>
      <c r="G14" s="45">
        <f t="shared" si="8"/>
        <v>59793402</v>
      </c>
      <c r="H14" s="42">
        <f t="shared" si="8"/>
        <v>0</v>
      </c>
      <c r="I14" s="45">
        <f t="shared" si="8"/>
        <v>0</v>
      </c>
      <c r="J14" s="45">
        <f t="shared" si="8"/>
        <v>0</v>
      </c>
      <c r="K14" s="45">
        <f t="shared" si="8"/>
        <v>0</v>
      </c>
      <c r="L14" s="47">
        <f t="shared" si="2"/>
        <v>0</v>
      </c>
      <c r="M14" s="47">
        <f t="shared" si="3"/>
        <v>0</v>
      </c>
      <c r="N14" s="47">
        <f t="shared" si="4"/>
        <v>0</v>
      </c>
      <c r="O14" s="47">
        <f t="shared" si="5"/>
        <v>0</v>
      </c>
    </row>
    <row r="15" spans="1:21" ht="80.650000000000006" customHeight="1" x14ac:dyDescent="0.25">
      <c r="A15" s="22" t="s">
        <v>1433</v>
      </c>
      <c r="B15" s="23" t="s">
        <v>1434</v>
      </c>
      <c r="C15" s="19" t="s">
        <v>1430</v>
      </c>
      <c r="D15" s="43">
        <f>SUM(E15:G15)</f>
        <v>0</v>
      </c>
      <c r="E15" s="44">
        <f>SUMIF(Свод!A:A,"1.2.1",Свод!F:F)</f>
        <v>0</v>
      </c>
      <c r="F15" s="44">
        <f>SUMIF(Свод!A:A,"1.2.1",Свод!G:G)</f>
        <v>0</v>
      </c>
      <c r="G15" s="44">
        <f>SUMIF(Свод!A:A,"1.2.1",Свод!E:E)</f>
        <v>0</v>
      </c>
      <c r="H15" s="40">
        <f>SUM(I15:K15)</f>
        <v>0</v>
      </c>
      <c r="I15" s="46">
        <f>SUMIF(Свод!A:A,"1.2.1",Свод!I:I)</f>
        <v>0</v>
      </c>
      <c r="J15" s="46">
        <f>SUMIF(Свод!A:A,"1.2.1",Свод!J:J)</f>
        <v>0</v>
      </c>
      <c r="K15" s="46">
        <f>SUMIF(Свод!A:A,"1.2.1",Свод!H:H)</f>
        <v>0</v>
      </c>
      <c r="L15" s="47">
        <f t="shared" si="2"/>
        <v>0</v>
      </c>
      <c r="M15" s="47">
        <f t="shared" si="3"/>
        <v>0</v>
      </c>
      <c r="N15" s="47">
        <f t="shared" si="4"/>
        <v>0</v>
      </c>
      <c r="O15" s="47">
        <f t="shared" si="5"/>
        <v>0</v>
      </c>
    </row>
    <row r="16" spans="1:21" ht="42" customHeight="1" x14ac:dyDescent="0.25">
      <c r="A16" s="51" t="s">
        <v>1435</v>
      </c>
      <c r="B16" s="53" t="s">
        <v>1436</v>
      </c>
      <c r="C16" s="19" t="s">
        <v>1437</v>
      </c>
      <c r="D16" s="43">
        <f>SUM(E16:G16)</f>
        <v>460923802</v>
      </c>
      <c r="E16" s="44">
        <v>401130400</v>
      </c>
      <c r="F16" s="44">
        <v>0</v>
      </c>
      <c r="G16" s="44">
        <v>59793402</v>
      </c>
      <c r="H16" s="40">
        <f>SUM(I16:K16)</f>
        <v>0</v>
      </c>
      <c r="I16" s="46">
        <v>0</v>
      </c>
      <c r="J16" s="46">
        <v>0</v>
      </c>
      <c r="K16" s="46">
        <v>0</v>
      </c>
      <c r="L16" s="47">
        <f t="shared" si="2"/>
        <v>0</v>
      </c>
      <c r="M16" s="47">
        <f t="shared" si="3"/>
        <v>0</v>
      </c>
      <c r="N16" s="47">
        <f t="shared" si="4"/>
        <v>0</v>
      </c>
      <c r="O16" s="47">
        <f t="shared" si="5"/>
        <v>0</v>
      </c>
    </row>
    <row r="17" spans="1:15" ht="52.35" customHeight="1" x14ac:dyDescent="0.25">
      <c r="A17" s="52"/>
      <c r="B17" s="54"/>
      <c r="C17" s="19" t="s">
        <v>1430</v>
      </c>
      <c r="D17" s="43">
        <f>SUM(E17:G17)</f>
        <v>0</v>
      </c>
      <c r="E17" s="44">
        <f>SUMIF(Свод!A:A,"1.2.2",Свод!F:F)</f>
        <v>0</v>
      </c>
      <c r="F17" s="44">
        <f>SUMIF(Свод!A:A,"1.2.2",Свод!G:G)</f>
        <v>0</v>
      </c>
      <c r="G17" s="44">
        <f>SUMIF(Свод!A:A,"1.2.2",Свод!E:E)</f>
        <v>0</v>
      </c>
      <c r="H17" s="40">
        <f>SUM(I17:K17)</f>
        <v>0</v>
      </c>
      <c r="I17" s="46">
        <f>SUMIF(Свод!A:A,"1.2.2",Свод!I:I)</f>
        <v>0</v>
      </c>
      <c r="J17" s="46">
        <f>SUMIF(Свод!A:A,"1.2.2",Свод!J:J)</f>
        <v>0</v>
      </c>
      <c r="K17" s="46">
        <f>SUMIF(Свод!A:A,"1.2.2",Свод!H:H)</f>
        <v>0</v>
      </c>
      <c r="L17" s="47">
        <f t="shared" si="2"/>
        <v>0</v>
      </c>
      <c r="M17" s="47">
        <f t="shared" si="3"/>
        <v>0</v>
      </c>
      <c r="N17" s="47">
        <f t="shared" si="4"/>
        <v>0</v>
      </c>
      <c r="O17" s="47">
        <f t="shared" si="5"/>
        <v>0</v>
      </c>
    </row>
    <row r="18" spans="1:15" s="15" customFormat="1" ht="62.25" customHeight="1" x14ac:dyDescent="0.25">
      <c r="A18" s="17" t="s">
        <v>1438</v>
      </c>
      <c r="B18" s="18" t="s">
        <v>616</v>
      </c>
      <c r="C18" s="19" t="s">
        <v>1430</v>
      </c>
      <c r="D18" s="43">
        <f>D19+D20</f>
        <v>22320000</v>
      </c>
      <c r="E18" s="45">
        <f t="shared" ref="E18:K18" si="9">E19+E20</f>
        <v>0</v>
      </c>
      <c r="F18" s="45">
        <f t="shared" si="9"/>
        <v>0</v>
      </c>
      <c r="G18" s="45">
        <f t="shared" si="9"/>
        <v>22320000</v>
      </c>
      <c r="H18" s="42">
        <f t="shared" si="9"/>
        <v>705341.96000000008</v>
      </c>
      <c r="I18" s="45">
        <f t="shared" si="9"/>
        <v>0</v>
      </c>
      <c r="J18" s="45">
        <f t="shared" si="9"/>
        <v>0</v>
      </c>
      <c r="K18" s="45">
        <f t="shared" si="9"/>
        <v>705341.96000000008</v>
      </c>
      <c r="L18" s="47">
        <f t="shared" si="2"/>
        <v>3.1601342293906813E-2</v>
      </c>
      <c r="M18" s="47">
        <f t="shared" si="3"/>
        <v>0</v>
      </c>
      <c r="N18" s="47">
        <f t="shared" si="4"/>
        <v>0</v>
      </c>
      <c r="O18" s="47">
        <f t="shared" si="5"/>
        <v>3.1601342293906813E-2</v>
      </c>
    </row>
    <row r="19" spans="1:15" ht="69.400000000000006" customHeight="1" x14ac:dyDescent="0.25">
      <c r="A19" s="22" t="s">
        <v>1393</v>
      </c>
      <c r="B19" s="23" t="s">
        <v>1439</v>
      </c>
      <c r="C19" s="19" t="s">
        <v>1430</v>
      </c>
      <c r="D19" s="43">
        <f>SUM(E19:G19)</f>
        <v>22320000</v>
      </c>
      <c r="E19" s="44">
        <f>SUMIF(Свод!A:A,"1.3.1",Свод!F:F)</f>
        <v>0</v>
      </c>
      <c r="F19" s="44">
        <f>SUMIF(Свод!A:A,"1.3.1",Свод!G:G)</f>
        <v>0</v>
      </c>
      <c r="G19" s="44">
        <f>SUMIF(Свод!A:A,"1.3.1",Свод!E:E)</f>
        <v>22320000</v>
      </c>
      <c r="H19" s="40">
        <f>SUM(I19:K19)</f>
        <v>705341.96000000008</v>
      </c>
      <c r="I19" s="46">
        <f>SUMIF(Свод!A:A,"1.3.1",Свод!I:I)</f>
        <v>0</v>
      </c>
      <c r="J19" s="46">
        <f>SUMIF(Свод!A:A,"1.3.1",Свод!J:J)</f>
        <v>0</v>
      </c>
      <c r="K19" s="46">
        <f>SUMIF(Свод!A:A,"1.3.1",Свод!H:H)</f>
        <v>705341.96000000008</v>
      </c>
      <c r="L19" s="47">
        <f t="shared" si="2"/>
        <v>3.1601342293906813E-2</v>
      </c>
      <c r="M19" s="47">
        <f t="shared" si="3"/>
        <v>0</v>
      </c>
      <c r="N19" s="47">
        <f t="shared" si="4"/>
        <v>0</v>
      </c>
      <c r="O19" s="47">
        <f t="shared" si="5"/>
        <v>3.1601342293906813E-2</v>
      </c>
    </row>
    <row r="20" spans="1:15" ht="67.5" customHeight="1" x14ac:dyDescent="0.25">
      <c r="A20" s="22" t="s">
        <v>1440</v>
      </c>
      <c r="B20" s="26" t="s">
        <v>1441</v>
      </c>
      <c r="C20" s="19" t="s">
        <v>1430</v>
      </c>
      <c r="D20" s="43">
        <f>SUM(E20:G20)</f>
        <v>0</v>
      </c>
      <c r="E20" s="44">
        <f>SUMIF(Свод!A:A,"1.3.2",Свод!F:F)</f>
        <v>0</v>
      </c>
      <c r="F20" s="44">
        <f>SUMIF(Свод!A:A,"1.3.2",Свод!G:G)</f>
        <v>0</v>
      </c>
      <c r="G20" s="44">
        <f>SUMIF(Свод!A:A,"1.3.2",Свод!E:E)</f>
        <v>0</v>
      </c>
      <c r="H20" s="40">
        <f>SUM(I20:K20)</f>
        <v>0</v>
      </c>
      <c r="I20" s="46">
        <f>SUMIF(Свод!A:A,"1.3.2",Свод!I:I)</f>
        <v>0</v>
      </c>
      <c r="J20" s="46">
        <f>SUMIF(Свод!A:A,"1.3.2",Свод!J:J)</f>
        <v>0</v>
      </c>
      <c r="K20" s="46">
        <f>SUMIF(Свод!A:A,"1.3.2",Свод!H:H)</f>
        <v>0</v>
      </c>
      <c r="L20" s="47">
        <f t="shared" si="2"/>
        <v>0</v>
      </c>
      <c r="M20" s="47">
        <f t="shared" si="3"/>
        <v>0</v>
      </c>
      <c r="N20" s="47">
        <f t="shared" si="4"/>
        <v>0</v>
      </c>
      <c r="O20" s="47">
        <f t="shared" si="5"/>
        <v>0</v>
      </c>
    </row>
    <row r="22" spans="1:15" hidden="1" outlineLevel="1" x14ac:dyDescent="0.25">
      <c r="B22" s="7" t="s">
        <v>1458</v>
      </c>
    </row>
    <row r="23" spans="1:15" hidden="1" outlineLevel="1" x14ac:dyDescent="0.25">
      <c r="A23" s="27"/>
      <c r="B23" s="28"/>
      <c r="C23" s="29" t="s">
        <v>1442</v>
      </c>
      <c r="D23" s="30">
        <f>SUMIF(Результат!C:C,"06*",Результат!U:U)</f>
        <v>708946223</v>
      </c>
      <c r="E23" s="30">
        <f>SUMIFS(Результат!U:U,Результат!C:C,"06*",Результат!Y:Y,"Окружной бюджет")</f>
        <v>25127260</v>
      </c>
      <c r="F23" s="30">
        <f>SUMIFS(Результат!U:U,Результат!C:C,"06*",Результат!Y:Y,"Федеральный бюджет")</f>
        <v>504900</v>
      </c>
      <c r="G23" s="30">
        <f>SUMIFS(Результат!U:U,Результат!C:C,"06*",Результат!Y:Y,"Местный бюджет")</f>
        <v>683314063</v>
      </c>
      <c r="H23" s="30">
        <f>SUMIF(Результат!C:C,"06*",Результат!O:O)</f>
        <v>11892538.360000001</v>
      </c>
      <c r="I23" s="31">
        <f>SUMIFS(Результат!O:O,Результат!C:C,"06*",Результат!Y:Y,"Окружной бюджет")</f>
        <v>0</v>
      </c>
      <c r="J23" s="31">
        <f>SUMIFS(Результат!O:O,Результат!C:C,"06*",Результат!Y:Y,"Федеральный бюджет")</f>
        <v>0</v>
      </c>
      <c r="K23" s="31">
        <f>SUMIFS(Результат!O:O,Результат!C:C,"06*",Результат!Y:Y,"Местный бюджет")</f>
        <v>11892538.360000001</v>
      </c>
    </row>
    <row r="24" spans="1:15" hidden="1" outlineLevel="1" x14ac:dyDescent="0.25">
      <c r="A24" s="27"/>
      <c r="B24" s="28"/>
      <c r="C24" s="29" t="s">
        <v>1443</v>
      </c>
      <c r="D24" s="30">
        <f t="shared" ref="D24:K24" si="10">D6</f>
        <v>1170169195</v>
      </c>
      <c r="E24" s="30">
        <f t="shared" si="10"/>
        <v>426257660</v>
      </c>
      <c r="F24" s="30">
        <f t="shared" si="10"/>
        <v>504900</v>
      </c>
      <c r="G24" s="30">
        <f t="shared" si="10"/>
        <v>743406635</v>
      </c>
      <c r="H24" s="30">
        <f t="shared" si="10"/>
        <v>11892538.360000001</v>
      </c>
      <c r="I24" s="30">
        <f t="shared" si="10"/>
        <v>0</v>
      </c>
      <c r="J24" s="30">
        <f t="shared" si="10"/>
        <v>0</v>
      </c>
      <c r="K24" s="31">
        <f t="shared" si="10"/>
        <v>11892538.360000001</v>
      </c>
    </row>
    <row r="25" spans="1:15" hidden="1" outlineLevel="1" x14ac:dyDescent="0.25">
      <c r="A25" s="27"/>
      <c r="B25" s="28"/>
      <c r="C25" s="29" t="s">
        <v>1444</v>
      </c>
      <c r="D25" s="33">
        <f>D24-D23</f>
        <v>461222972</v>
      </c>
      <c r="E25" s="33">
        <f>E24-E23</f>
        <v>401130400</v>
      </c>
      <c r="F25" s="33">
        <f>F24-F23</f>
        <v>0</v>
      </c>
      <c r="G25" s="33">
        <f>G24-G23</f>
        <v>60092572</v>
      </c>
      <c r="H25" s="33">
        <f>ROUND(H24-H23,2)</f>
        <v>0</v>
      </c>
      <c r="I25" s="33">
        <f>ROUND(I24-I23,2)</f>
        <v>0</v>
      </c>
      <c r="J25" s="33">
        <f>ROUND(J24-J23,2)</f>
        <v>0</v>
      </c>
      <c r="K25" s="33">
        <f>ROUND(K24-K23,2)</f>
        <v>0</v>
      </c>
    </row>
    <row r="26" spans="1:15" hidden="1" outlineLevel="1" x14ac:dyDescent="0.25">
      <c r="A26" s="27"/>
      <c r="B26" s="28"/>
      <c r="C26" s="29" t="s">
        <v>1445</v>
      </c>
      <c r="D26" s="33">
        <f t="shared" ref="D26:K26" si="11">D16+D8</f>
        <v>461222972</v>
      </c>
      <c r="E26" s="33">
        <f t="shared" si="11"/>
        <v>401130400</v>
      </c>
      <c r="F26" s="33">
        <f t="shared" si="11"/>
        <v>0</v>
      </c>
      <c r="G26" s="33">
        <f t="shared" si="11"/>
        <v>60092572</v>
      </c>
      <c r="H26" s="33">
        <f t="shared" si="11"/>
        <v>0</v>
      </c>
      <c r="I26" s="33">
        <f t="shared" si="11"/>
        <v>0</v>
      </c>
      <c r="J26" s="33">
        <f t="shared" si="11"/>
        <v>0</v>
      </c>
      <c r="K26" s="33">
        <f t="shared" si="11"/>
        <v>0</v>
      </c>
    </row>
    <row r="27" spans="1:15" hidden="1" outlineLevel="1" x14ac:dyDescent="0.25">
      <c r="A27" s="27"/>
      <c r="B27" s="28"/>
      <c r="C27" s="29" t="s">
        <v>1446</v>
      </c>
      <c r="D27" s="33">
        <f t="shared" ref="D27:K27" si="12">D25-D26</f>
        <v>0</v>
      </c>
      <c r="E27" s="33">
        <f t="shared" si="12"/>
        <v>0</v>
      </c>
      <c r="F27" s="33">
        <f t="shared" si="12"/>
        <v>0</v>
      </c>
      <c r="G27" s="33">
        <f t="shared" si="12"/>
        <v>0</v>
      </c>
      <c r="H27" s="33">
        <f t="shared" si="12"/>
        <v>0</v>
      </c>
      <c r="I27" s="33">
        <f t="shared" si="12"/>
        <v>0</v>
      </c>
      <c r="J27" s="33">
        <f t="shared" si="12"/>
        <v>0</v>
      </c>
      <c r="K27" s="33">
        <f t="shared" si="12"/>
        <v>0</v>
      </c>
    </row>
    <row r="28" spans="1:15" hidden="1" outlineLevel="1" x14ac:dyDescent="0.25">
      <c r="D28" s="35">
        <f t="shared" ref="D28:K28" si="13">D26-D25-D27</f>
        <v>0</v>
      </c>
      <c r="E28" s="35">
        <f t="shared" si="13"/>
        <v>0</v>
      </c>
      <c r="F28" s="35">
        <f t="shared" si="13"/>
        <v>0</v>
      </c>
      <c r="G28" s="35">
        <f t="shared" si="13"/>
        <v>0</v>
      </c>
      <c r="H28" s="35">
        <f t="shared" si="13"/>
        <v>0</v>
      </c>
      <c r="I28" s="35">
        <f t="shared" si="13"/>
        <v>0</v>
      </c>
      <c r="J28" s="35">
        <f t="shared" si="13"/>
        <v>0</v>
      </c>
      <c r="K28" s="35">
        <f t="shared" si="13"/>
        <v>0</v>
      </c>
    </row>
    <row r="29" spans="1:15" collapsed="1" x14ac:dyDescent="0.25"/>
    <row r="30" spans="1:15" x14ac:dyDescent="0.25">
      <c r="H30" s="36"/>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H A A B Q S w M E F A A C A A g A Z n B D 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Z n B D 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Z w Q 1 a U D 2 a h F g Q A A D A P A A A T A B w A R m 9 y b X V s Y X M v U 2 V j d G l v b j E u b S C i G A A o o B Q A A A A A A A A A A A A A A A A A A A A A A A A A A A C t V 1 F P 2 0 g Q f k f i P 6 x 8 L 4 l k R a y T U q q W k 0 6 9 q 1 r 1 p S p I f S C o M m F P R D h 2 Z R u V C i E R u G s r U d 2 J 0 g d U q U D a q o 9 V y p E j V w L 5 C 7 P / 6 G b X Q T i x J y b H g a w k s 7 M z 8 8 3 O f L M O R C W s e i 6 b i T 7 5 7 f G x 8 b F g y f b F I o N D a M G J 3 I J T + U Z u Q l N u s m n m i H B 8 j O E f 7 M k 6 S s / l K z i D N n z H t V 9 W K 8 I p P P H 8 5 Q X P W 8 7 d q z q i c N d z Q + G G Q c 4 o l / k t q 8 A n p w r W x I R 6 y h W v V v P c c o m h l U 0 4 R m + n T G 7 J V 3 J H u T M Z f I d z O J O b c g M / T + W f D N p a F V 2 2 U O M M v 6 s Q U P g e P u P T h k b 5 Z g G 1 Z B 2 6 a g u q t H R 0 r b I 1 Y R X L s s 7 g B J r Q V R Z R 6 R w 6 Z d i R f 6 D v v 3 s m m + i m t 9 p V h u Q b 9 b O J X 3 5 H 9 W N 8 j l j k 8 Y D B A e x A g + X g A 3 z N s x z P F 1 a d Y N X I m 8 x d c R y T h f 6 K y J u 9 d C W S + X R m S Y g Q 0 z a Y y b W 5 B 6 G o T R v J L Y b 5 s O o u T h t 6 p z G / P v e z H d r z P Q 8 / G B g P h i e 3 5 W s N + 0 x u Q y s C / J f O B i 5 i S t s G + p y 1 F / B w H v l e z Q v F f W E v C j / I U T G a b K 6 n + Z P j z F R s x / a D a Q V u P n / p e w 8 d d b T f C 9 / / M H U 4 0 L 3 0 N + v b b v C r 5 9 f u e s 5 K z Z 1 9 8 U w E u a v H b a 6 t G f / l u F C N 6 f S 2 c K 2 F U q w c F d 1 v G B 2 u o c N 6 F A A K t c t j f c R d d N 3 U u r 2 l r j b Q V g o G n i 5 G z 2 z 3 x b r J 1 o w I k J U u L q a L S + n i G + n i y X T x z X T x V L r 4 V r q Y T x B y T s g J o J x A y g m o n M D K C b C c Q M s J u J z A a x F 4 L Q K v R e C 1 C L w W g d c i 8 F o E X o v A a x F 4 L Q J v k c B b J P A W q U L u w 7 s e 6 / 5 P 2 F V N 7 J d Y / x 6 p b s E 2 1 P z L F M V p H u 8 j o J n l 6 r P c c P I w i / l R C Y 6 T D D d y p N e k P v 5 / c R + P y G 8 X K R p H z u D p o P Q E D u Q G y h + 4 4 W S p o K w P I y D 4 A g 0 4 v C L / w F u t O m A Z P i q A K l u a U / U I O 6 I C S N Q r z s 9 9 D G E X P l F b k p w E D R x N 3 6 6 w M 1 G 9 O s m n 6 m q h h p q 6 Z 6 g 5 U V f m k P r b W B F t f d b X o i 4 M T E 0 O + V L Z T 5 r D 5 U N 8 G m T U a T n S o + g Q 9 q l N S S L T S e r g f z O a e + r e 0 x t q p J F k v p J G S q S R F O U b W R 6 T y d s b u L O d X 2 i 4 K 7 U F 4 U d K + 7 r K 1 B F i d 6 Y p x G 5 l 2 D V H q L q h N u C 9 k q c E T m t b I 2 k X R 9 I u D d c e e m D 9 G W C q z j D x b f 1 z o P n i 7 P w O n W + h T U 1 v W w k C j K 6 f K P o m X 8 r t G D s L B 1 8 L o i M L h t O 0 4 q c 4 P c U p 6 Z J t L q i E J I 9 + X k j r + C v 3 c k o / x n t w o L s y + i a j I z J 6 I L 2 6 k + W c V b 9 Z F Z t V o 1 l V O a Q O M y o v X m y N y / H J 1 A t X V 9 + Z + 8 u m E 1 2 + 9 X u G V u 4 M V t 1 j 7 7 k u u d F K 1 2 T C r i y x 3 N x F + c 2 z O z / q t 7 F 8 f n y s 6 l 4 3 y N v / A l B L A Q I t A B Q A A g A I A G Z w Q 1 b L M s S X p A A A A P U A A A A S A A A A A A A A A A A A A A A A A A A A A A B D b 2 5 m a W c v U G F j a 2 F n Z S 5 4 b W x Q S w E C L Q A U A A I A C A B m c E N W D 8 r p q 6 Q A A A D p A A A A E w A A A A A A A A A A A A A A A A D w A A A A W 0 N v b n R l b n R f V H l w Z X N d L n h t b F B L A Q I t A B Q A A g A I A G Z w Q 1 a U D 2 a h F g Q A A D A P A A A T A A A A A A A A A A A A A A A A A O E B A A B G b 3 J t d W x h c y 9 T Z W N 0 a W 9 u M S 5 t U E s F B g A A A A A D A A M A w g A A A E Q 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M j A A A A A A A A c S 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y V E M C V B M C V E M C V C N S V E M C V C N y V E M S U 4 M y V E M C V C Q i V E M S U 4 Q y V E M S U 4 M i V E M C V C M C V E M S U 4 M 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0 J 3 Q s N C y 0 L j Q s 9 C w 0 Y b Q u N G P I i A v P j x F b n R y e S B U e X B l P S J G a W x s V G F y Z 2 V 0 I i B W Y W x 1 Z T 0 i c 9 C g 0 L X Q t 9 G D 0 L v R j N G C 0 L D R g i I g L z 4 8 R W 5 0 c n k g V H l w Z T 0 i R m l s b G V k Q 2 9 t c G x l d G V S Z X N 1 b H R U b 1 d v c m t z a G V l d C I g V m F s d W U 9 I m w x I i A v P j x F b n R y e S B U e X B l P S J B Z G R l Z F R v R G F 0 Y U 1 v Z G V s I i B W Y W x 1 Z T 0 i b D A i I C 8 + P E V u d H J 5 I F R 5 c G U 9 I k Z p b G x D b 3 V u d C I g V m F s d W U 9 I m w y O T A i I C 8 + P E V u d H J 5 I F R 5 c G U 9 I k Z p b G x F c n J v c k N v Z G U i I F Z h b H V l P S J z V W 5 r b m 9 3 b i I g L z 4 8 R W 5 0 c n k g V H l w Z T 0 i R m l s b E V y c m 9 y Q 2 9 1 b n Q i I F Z h b H V l P S J s M C I g L z 4 8 R W 5 0 c n k g V H l w Z T 0 i R m l s b E x h c 3 R V c G R h d G V k I i B W Y W x 1 Z T 0 i Z D I w M j M t M D I t M D N U M D k 6 M D M 6 M T I u M z A 2 M D Q 1 M l o i I C 8 + P E V u d H J 5 I F R 5 c G U 9 I k Z p b G x D b 2 x 1 b W 5 U e X B l c y I g V m F s d W U 9 I n N B Q U 1 B Q X d N R E F 3 Q U F B d 0 1 E Q X d N R k J R T U R B d 0 1 E Q X c 9 P S 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R m l s b F N 0 Y X R 1 c y I g V m F s d W U 9 I n N D b 2 1 w b G V 0 Z S I g L z 4 8 R W 5 0 c n k g V H l w Z T 0 i U m V s Y X R p b 2 5 z a G l w S W 5 m b 0 N v b n R h a W 5 l c i I g V m F s d W U 9 I n N 7 J n F 1 b 3 Q 7 Y 2 9 s d W 1 u Q 2 9 1 b n Q m c X V v d D s 6 M j I s J n F 1 b 3 Q 7 a 2 V 5 Q 2 9 s d W 1 u T m F t Z X M m c X V v d D s 6 W 1 0 s J n F 1 b 3 Q 7 c X V l c n l S Z W x h d G l v b n N o a X B z J n F 1 b 3 Q 7 O l t d L C Z x d W 9 0 O 2 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Q 2 9 s d W 1 u Q 2 9 1 b n Q m c X V v d D s 6 M j I s J n F 1 b 3 Q 7 S 2 V 5 Q 2 9 s d W 1 u T m F t Z X M m c X V v d D s 6 W 1 0 s J n F 1 b 3 Q 7 Q 2 9 s d W 1 u S W R l b n R p d G l l c y Z x d W 9 0 O z p b J n F 1 b 3 Q 7 U 2 V j d G l v b j E v 0 K D Q t d C 3 0 Y P Q u 9 G M 0 Y L Q s N G C L 9 C Y 0 L f Q v N C 1 0 L 3 Q t d C 9 0 L 3 R i 9 C 5 I N G C 0 L j Q v z E u e 9 C T 0 K D Q k d C h L D B 9 J n F 1 b 3 Q 7 L C Z x d W 9 0 O 1 N l Y 3 R p b 2 4 x L 9 C g 0 L X Q t 9 G D 0 L v R j N G C 0 L D R g i / Q m N C 3 0 L z Q t d C 9 0 L X Q v d C 9 0 Y v Q u S D R g t C 4 0 L 8 x L n v Q o N C 3 0 J / R g C w x f S Z x d W 9 0 O y w m c X V v d D t T Z W N 0 a W 9 u M S / Q o N C 1 0 L f R g 9 C 7 0 Y z R g t C w 0 Y I v 0 J j Q t 9 C 8 0 L X Q v d C 1 0 L 3 Q v d G L 0 L k g 0 Y L Q u N C / M S 5 7 0 K b Q o d C g L D N 9 J n F 1 b 3 Q 7 L C Z x d W 9 0 O 1 N l Y 3 R p b 2 4 x L 9 C g 0 L X Q t 9 G D 0 L v R j N G C 0 L D R g i / Q m N C 3 0 L z Q t d C 9 0 L X Q v d C 9 0 Y v Q u S D R g t C 4 0 L 8 x L n v Q k t C g L D V 9 J n F 1 b 3 Q 7 L C Z x d W 9 0 O 1 N l Y 3 R p b 2 4 x L 9 C g 0 L X Q t 9 G D 0 L v R j N G C 0 L D R g i / Q m N C 3 0 L z Q t d C 9 0 L X Q v d C 9 0 Y v Q u S D R g t C 4 0 L 8 x L n v Q o t C 4 0 L 8 g 0 Y H R g N C 1 0 L T R g d G C 0 L I s N n 0 m c X V v d D s s J n F 1 b 3 Q 7 U 2 V j d G l v b j E v 0 K D Q t d C 3 0 Y P Q u 9 G M 0 Y L Q s N G C L 9 C Y 0 L f Q v N C 1 0 L 3 Q t d C 9 0 L 3 R i 9 C 5 I N G C 0 L j Q v z E u e 9 C a 0 J 7 Q o d C T 0 K M s O H 0 m c X V v d D s s J n F 1 b 3 Q 7 U 2 V j d G l v b j E v 0 K D Q t d C 3 0 Y P Q u 9 G M 0 Y L Q s N G C L 9 C Y 0 L f Q v N C 1 0 L 3 Q t d C 9 0 L 3 R i 9 C 5 I N G C 0 L j Q v z E u e 9 C h 0 Y P Q s d C a 0 J 7 Q o d C T 0 K M s M T B 9 J n F 1 b 3 Q 7 L C Z x d W 9 0 O 1 N l Y 3 R p b 2 4 x L 9 C g 0 L X Q t 9 G D 0 L v R j N G C 0 L D R g i / Q m N C 3 0 L z Q t d C 9 0 L X Q v d C 9 0 Y v Q u S D R g t C 4 0 L 8 x L n v Q n 9 C + 0 L v R g 9 G H 0 L D R g t C 1 0 L v R j C D R g d G D 0 L H R g d C 4 0 L T Q u N C 4 L D E y f S Z x d W 9 0 O y w m c X V v d D t T Z W N 0 a W 9 u M S / Q o N C 1 0 L f R g 9 C 7 0 Y z R g t C w 0 Y I v 0 J j Q t 9 C 8 0 L X Q v d C 1 0 L 3 Q v d G L 0 L k g 0 Y L Q u N C / M S 5 7 0 J r Q v t C 0 I N G G 0 L X Q u 9 C 4 L D E 1 f S Z x d W 9 0 O y w m c X V v d D t T Z W N 0 a W 9 u M S / Q o N C 1 0 L f R g 9 C 7 0 Y z R g t C w 0 Y I v 0 J j Q t 9 C 8 0 L X Q v d C 1 0 L 3 Q v d G L 0 L k g 0 Y L Q u N C / M S 5 7 0 J r Q o N C a 0 K E s M T Z 9 J n F 1 b 3 Q 7 L C Z x d W 9 0 O 1 N l Y 3 R p b 2 4 x L 9 C g 0 L X Q t 9 G D 0 L v R j N G C 0 L D R g i / Q m N C 3 0 L z Q t d C 9 0 L X Q v d C 9 0 Y v Q u S D R g t C 4 0 L 8 x L n v Q m t C + 0 L Q g 0 K D Q n i w x O H 0 m c X V v d D s s J n F 1 b 3 Q 7 U 2 V j d G l v b j E v 0 K D Q t d C 3 0 Y P Q u 9 G M 0 Y L Q s N G C L 9 C Y 0 L f Q v N C 1 0 L 3 Q t d C 9 0 L 3 R i 9 C 5 I N G C 0 L j Q v z E u e 9 C h 0 Y P Q v N C 8 0 L A g 0 L 3 Q s C A y M D I z I N C z 0 L 7 Q t C w y M H 0 m c X V v d D s s J n F 1 b 3 Q 7 U 2 V j d G l v b j E v 0 K D Q t d C 3 0 Y P Q u 9 G M 0 Y L Q s N G C L 9 C Y 0 L f Q v N C 1 0 L 3 Q t d C 9 0 L 3 R i 9 C 5 I N G C 0 L j Q v z E u e 9 C h 0 Y P Q v N C 8 0 L A g 0 L 3 Q s C A y M D I 0 I N C z 0 L 7 Q t C w y M n 0 m c X V v d D s s J n F 1 b 3 Q 7 U 2 V j d G l v b j E v 0 K D Q t d C 3 0 Y P Q u 9 G M 0 Y L Q s N G C L 9 C Y 0 L f Q v N C 1 0 L 3 Q t d C 9 0 L 3 R i 9 C 5 I N G C 0 L j Q v z E u e 9 C h 0 Y P Q v N C 8 0 L A g 0 L 3 Q s C A y M D I 1 I N C z 0 L 7 Q t C w y M 3 0 m c X V v d D s s J n F 1 b 3 Q 7 U 2 V j d G l v b j E v 0 K D Q t d C 3 0 Y P Q u 9 G M 0 Y L Q s N G C L 9 C Y 0 L f Q v N C 1 0 L 3 Q t d C 9 0 L 3 R i 9 C 5 I N G C 0 L j Q v z E u e 9 C Y 0 Y H Q v 9 C + 0 L v Q v d C 1 0 L 3 Q v i w y N X 0 m c X V v d D s s J n F 1 b 3 Q 7 U 2 V j d G l v b j E v 0 K D Q t d C 3 0 Y P Q u 9 G M 0 Y L Q s N G C L 9 C Y 0 L f Q v N C 1 0 L 3 Q t d C 9 0 L 3 R i 9 C 5 I N G C 0 L j Q v z E u e 9 C e 0 Y H R g t C w 0 Y L Q v t C 6 L D I 2 f S Z x d W 9 0 O y w m c X V v d D t T Z W N 0 a W 9 u M S / Q o N C 1 0 L f R g 9 C 7 0 Y z R g t C w 0 Y I v 0 J j Q t 9 C 8 0 L X Q v d C 1 0 L 3 Q v d G L 0 L k g 0 Y L Q u N C / M S 5 7 0 J r Q n y D Q n 9 C R 0 K E g 0 L r Q s t C w 0 Y D R g t C w 0 L s g M S w y N 3 0 m c X V v d D s s J n F 1 b 3 Q 7 U 2 V j d G l v b j E v 0 K D Q t d C 3 0 Y P Q u 9 G M 0 Y L Q s N G C L 9 C Y 0 L f Q v N C 1 0 L 3 Q t d C 9 0 L 3 R i 9 C 5 I N G C 0 L j Q v z E u e 9 C a 0 J 8 g 0 J / Q k d C h I N C 6 0 L L Q s N G A 0 Y L Q s N C 7 I D I s M j h 9 J n F 1 b 3 Q 7 L C Z x d W 9 0 O 1 N l Y 3 R p b 2 4 x L 9 C g 0 L X Q t 9 G D 0 L v R j N G C 0 L D R g i / Q m N C 3 0 L z Q t d C 9 0 L X Q v d C 9 0 Y v Q u S D R g t C 4 0 L 8 x L n v Q m t C f I N C f 0 J H Q o S D Q u t C y 0 L D R g N G C 0 L D Q u y A z L D I 5 f S Z x d W 9 0 O y w m c X V v d D t T Z W N 0 a W 9 u M S / Q o N C 1 0 L f R g 9 C 7 0 Y z R g t C w 0 Y I v 0 J j Q t 9 C 8 0 L X Q v d C 1 0 L 3 Q v d G L 0 L k g 0 Y L Q u N C / M S 5 7 0 J r Q n y D Q n 9 C R 0 K E g 0 L r Q s t C w 0 Y D R g t C w 0 L s g N C w z M H 0 m c X V v d D s s J n F 1 b 3 Q 7 U 2 V j d G l v b j E v 0 K D Q t d C 3 0 Y P Q u 9 G M 0 Y L Q s N G C L 9 C Y 0 L f Q v N C 1 0 L 3 Q t d C 9 0 L 3 R i 9 C 5 I N G C 0 L j Q v z E u e 9 C a 0 J 8 g 0 J / Q k d C h I D I w M j M g 0 L P Q v t C 0 L D M x f S Z x d W 9 0 O y w m c X V v d D t T Z W N 0 a W 9 u M S / Q o N C 1 0 L f R g 9 C 7 0 Y z R g t C w 0 Y I v 0 J j Q t 9 C 8 0 L X Q v d C 1 0 L 3 Q v d G L 0 L k g 0 Y L Q u N C / M S 5 7 0 J 7 R g d G C 0 L D R g t C + 0 L o g 0 L v Q u N C 8 0 L j R g t C + 0 L I s M z J 9 J n F 1 b 3 Q 7 X S w m c X V v d D t S Z W x h d G l v b n N o a X B J b m Z v J n F 1 b 3 Q 7 O l t d f S I g L z 4 8 L 1 N 0 Y W J s Z U V u d H J p Z X M + P C 9 J d G V t P j x J d G V t P j x J d G V t T G 9 j Y X R p b 2 4 + P E l 0 Z W 1 U e X B l P k Z v c m 1 1 b G E 8 L 0 l 0 Z W 1 U e X B l P j x J d G V t U G F 0 a D 5 T Z W N 0 a W 9 u M S 8 l R D A l Q T A l R D A l Q j U l R D A l Q j c l R D E l O D M l R D A l Q k I l R D E l O E M l R D E l O D I l R D A l Q j A l R D E l O D I v J U Q w J T k 4 J U Q x J T g x J U Q x J T g y J U Q w J U J F J U Q x J T g 3 J U Q w J U J E J U Q w J U I 4 J U Q w J U J B P C 9 J d G V t U G F 0 a D 4 8 L 0 l 0 Z W 1 M b 2 N h d G l v b j 4 8 U 3 R h Y m x l R W 5 0 c m l l c y A v P j w v S X R l b T 4 8 S X R l b T 4 8 S X R l b U x v Y 2 F 0 a W 9 u P j x J d G V t V H l w Z T 5 G b 3 J t d W x h P C 9 J d G V t V H l w Z T 4 8 S X R l b V B h d G g + U 2 V j d G l v b j E v J U Q w J U E w J U Q w J U I 1 J U Q w J U I 3 J U Q x J T g z J U Q w J U J C J U Q x J T h D J U Q x J T g y J U Q w J U I w J U Q x J T g y L y V E M C V B M C V E M C V C N S V E M C V C N y V E M S U 4 M y V E M C V C Q i V E M S U 4 Q y V E M S U 4 M i V E M C V C M C V E M S U 4 M l 9 T a G V l d D w v S X R l b V B h d G g + P C 9 J d G V t T G 9 j Y X R p b 2 4 + P F N 0 Y W J s Z U V u d H J p Z X M g L z 4 8 L 0 l 0 Z W 0 + P E l 0 Z W 0 + P E l 0 Z W 1 M b 2 N h d G l v b j 4 8 S X R l b V R 5 c G U + R m 9 y b X V s Y T w v S X R l b V R 5 c G U + P E l 0 Z W 1 Q Y X R o P l N l Y 3 R p b 2 4 x L y V E M C V B M C V E M C V C N S V E M C V C N y V E M S U 4 M y V E M C V C Q i V E M S U 4 Q y V E M S U 4 M i V E M C V C M C V E M S U 4 M i 8 l R D A l O U Y l R D A l Q k U l R D A l Q j I l R D E l O E I l R D E l O D g l R D A l Q j U l R D A l Q k Q l R D A l Q k Q l R D E l O E I l R D A l Q j U l M j A l R D A l Q j c l R D A l Q j A l R D A l Q j M l R D A l Q k U l R D A l Q k I l R D A l Q k U l R D A l Q j I l R D A l Q k E l R D A l Q j g 8 L 0 l 0 Z W 1 Q Y X R o P j w v S X R l b U x v Y 2 F 0 a W 9 u P j x T d G F i b G V F b n R y a W V z I C 8 + P C 9 J d G V t P j x J d G V t P j x J d G V t T G 9 j Y X R p b 2 4 + P E l 0 Z W 1 U e X B l P k Z v c m 1 1 b G E 8 L 0 l 0 Z W 1 U e X B l P j x J d G V t U G F 0 a D 5 T Z W N 0 a W 9 u M S 8 l R D A l Q T A l R D A l Q j U l R D A l Q j c l R D E l O D M l R D A l Q k I l R D E l O E M l R D E l O D I l R D A l Q j A l R D E l O D I v J U Q w J T k 4 J U Q w J U I 3 J U Q w J U J D J U Q w J U I 1 J U Q w J U J E J U Q w J U I 1 J U Q w J U J E J U Q w J U J E J U Q x J T h C J U Q w J U I 5 J T I w J U Q x J T g y J U Q w J U I 4 J U Q w J U J G P C 9 J d G V t U G F 0 a D 4 8 L 0 l 0 Z W 1 M b 2 N h d G l v b j 4 8 U 3 R h Y m x l R W 5 0 c m l l c y A v P j w v S X R l b T 4 8 S X R l b T 4 8 S X R l b U x v Y 2 F 0 a W 9 u P j x J d G V t V H l w Z T 5 G b 3 J t d W x h P C 9 J d G V t V H l w Z T 4 8 S X R l b V B h d G g + U 2 V j d G l v b j E v J U Q w J U E w J U Q w J U I 1 J U Q w J U I 3 J U Q x J T g z J U Q w J U J C J U Q x J T h D J U Q x J T g y J U Q w J U I w J U Q x J T g y L y V E M C V B M y V E M C V C N C V E M C V C M C V E M C V C Q i V E M C V C N S V E M C V C R C V E M C V C R C V E M S U 4 Q i V E M C V C N S U y M C V E M C V C M i V E M C V C N S V E M S U 4 M C V E M S U 4 N S V E M C V C R C V E M C V C O C V E M C V C N S U y M C V E M S U 4 M S V E M S U 4 M i V E M S U 4 M C V E M C V C R S V E M C V C Q S V E M C V C O D w v S X R l b V B h d G g + P C 9 J d G V t T G 9 j Y X R p b 2 4 + P F N 0 Y W J s Z U V u d H J p Z X M g L z 4 8 L 0 l 0 Z W 0 + P E l 0 Z W 0 + P E l 0 Z W 1 M b 2 N h d G l v b j 4 8 S X R l b V R 5 c G U + R m 9 y b X V s Y T w v S X R l b V R 5 c G U + P E l 0 Z W 1 Q Y X R o P l N l Y 3 R p b 2 4 x L y V E M C V B M C V E M C V C N S V E M C V C N y V E M S U 4 M y V E M C V C Q i V E M S U 4 Q y V E M S U 4 M i V E M C V C M C V E M S U 4 M i 8 l R D A l O U Y l R D A l Q k U l R D A l Q j I l R D E l O E I l R D E l O D g l R D A l Q j U l R D A l Q k Q l R D A l Q k Q l R D E l O E I l R D A l Q j U l M j A l R D A l Q j c l R D A l Q j A l R D A l Q j M l R D A l Q k U l R D A l Q k I l R D A l Q k U l R D A l Q j I l R D A l Q k E l R D A l Q j g x 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E 8 L 0 l 0 Z W 1 Q Y X R o P j w v S X R l b U x v Y 2 F 0 a W 9 u P j x T d G F i b G V F b n R y a W V z I C 8 + P C 9 J d G V t P j x J d G V t P j x J d G V t T G 9 j Y X R p b 2 4 + P E l 0 Z W 1 U e X B l P k Z v c m 1 1 b G E 8 L 0 l 0 Z W 1 U e X B l P j x J d G V t U G F 0 a D 5 T Z W N 0 a W 9 u M S 8 l R D A l Q T A l R D A l Q j U l R D A l Q j c l R D E l O D M l R D A l Q k I l R D E l O E M l R D E l O D I l R D A l Q j A l R D E l O D I v J U Q w J T k 0 J U Q x J T g w J U Q x J T g z J U Q w J U I z J U Q w J U I 4 J U Q w J U I 1 J T I w J U Q x J T g z J U Q w J U I 0 J U Q w J U I w J U Q w J U J C J U Q w J U I 1 J U Q w J U J E J U Q w J U J E J U Q x J T h C J U Q w J U I 1 J T I w J U Q x J T g x J U Q x J T g y J U Q w J U J F J U Q w J U J C J U Q w J U I x J U Q x J T g 2 J U Q x J T h C P C 9 J d G V t U G F 0 a D 4 8 L 0 l 0 Z W 1 M b 2 N h d G l v b j 4 8 U 3 R h Y m x l R W 5 0 c m l l c y A v P j w v S X R l b T 4 8 S X R l b T 4 8 S X R l b U x v Y 2 F 0 a W 9 u P j x J d G V t V H l w Z T 5 G b 3 J t d W x h P C 9 J d G V t V H l w Z T 4 8 S X R l b V B h d G g + U 2 V j d G l v b j E v J U Q w J U E w J U Q w J U I 1 J U Q w J U I 3 J U Q x J T g z J U Q w J U J C J U Q x J T h D J U Q x J T g y J U Q w J U I w J U Q x J T g y L y V E M C V B M S V E M S U 4 M i V E M S U 4 M C V E M C V C R S V E M C V C Q S V E M C V C O C U y M C V E M S U 4 M S U y M C V E M C V C R i V E M S U 4 M C V E M C V C O C V E M C V C Q y V E M C V C N S V E M C V C R C V E M C V C N S V E M C V C R C V E M C V C R C V E M S U 4 Q i V E M C V C Q y U y M C V E M S U 4 N C V E M C V C O C V E M C V C Q i V E M S U 4 Q y V E M S U 4 M i V E M S U 4 M C V E M C V C R S V E M C V C Q z w v S X R l b V B h d G g + P C 9 J d G V t T G 9 j Y X R p b 2 4 + P F N 0 Y W J s Z U V u d H J p Z X M g L z 4 8 L 0 l 0 Z W 0 + P C 9 J d G V t c z 4 8 L 0 x v Y 2 F s U G F j a 2 F n Z U 1 l d G F k Y X R h R m l s Z T 4 W A A A A U E s F B g A A A A A A A A A A A A A A A A A A A A A A A C Y B A A A B A A A A 0 I y d 3 w E V 0 R G M e g D A T 8 K X 6 w E A A A C w L X h k r B 0 V Q q a 9 I q G o J r I N A A A A A A I A A A A A A B B m A A A A A Q A A I A A A A C M 4 K P j Y N q H 9 U k c m j R F B a / P J z g i 1 1 a G S K K l / d Y w / s p q w A A A A A A 6 A A A A A A g A A I A A A A G j J G 7 a I x t 1 l L L E x w R q O 9 M w 6 9 5 w j W V n U H D d y G q a h H 8 5 i U A A A A E a g 0 x y E T l 1 O d m R o T A 3 6 U d 5 / Y s V q 7 O h E T d V 5 2 F B m b s R + u v L B q 5 5 k y 2 j I T 8 2 q F 8 O L A 8 F N y z 9 N S / L w / m D j n u W e T R 8 x o D x q g U 1 6 L 3 Z u T j + D x H S Z Q A A A A O f a D H U L J d / Z Y 5 E V 6 x z x i c u / n c A U i S 9 / + h 0 P B H p 9 h H a P f x 7 w g a 1 D c U x C A t v 6 N F H x s E o J 9 H y X R K 7 o i E e r x c c Y d a s = < / 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2023-02-03T13:32:27Z</cp:lastPrinted>
  <dcterms:created xsi:type="dcterms:W3CDTF">2023-02-03T08:58:35Z</dcterms:created>
  <dcterms:modified xsi:type="dcterms:W3CDTF">2023-02-06T05:20:16Z</dcterms:modified>
</cp:coreProperties>
</file>