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2 год\Годовой отчёт за 2021 год\моё\"/>
    </mc:Choice>
  </mc:AlternateContent>
  <bookViews>
    <workbookView xWindow="9585" yWindow="465" windowWidth="9720" windowHeight="11940"/>
  </bookViews>
  <sheets>
    <sheet name="приложение № 2" sheetId="5" r:id="rId1"/>
    <sheet name="Отчет о совместимости" sheetId="6" state="hidden" r:id="rId2"/>
    <sheet name="2012 год" sheetId="7" state="hidden" r:id="rId3"/>
  </sheets>
  <definedNames>
    <definedName name="_xlnm._FilterDatabase" localSheetId="0" hidden="1">'приложение № 2'!$A$8:$S$84</definedName>
    <definedName name="_xlnm.Print_Titles" localSheetId="0">'приложение № 2'!$6:$8</definedName>
    <definedName name="_xlnm.Print_Area" localSheetId="0">'приложение № 2'!$A$1:$S$82</definedName>
  </definedNames>
  <calcPr calcId="152511"/>
</workbook>
</file>

<file path=xl/calcChain.xml><?xml version="1.0" encoding="utf-8"?>
<calcChain xmlns="http://schemas.openxmlformats.org/spreadsheetml/2006/main">
  <c r="Q9" i="5" l="1"/>
  <c r="S82" i="5" l="1"/>
  <c r="R82" i="5"/>
  <c r="G67" i="5"/>
  <c r="E67" i="5"/>
  <c r="E65" i="5"/>
  <c r="Q10" i="5"/>
  <c r="R10" i="5"/>
  <c r="S10" i="5"/>
  <c r="Q11" i="5"/>
  <c r="R11" i="5"/>
  <c r="S11" i="5"/>
  <c r="Q12" i="5"/>
  <c r="R12" i="5"/>
  <c r="S12" i="5"/>
  <c r="Q13" i="5"/>
  <c r="R13" i="5"/>
  <c r="S13" i="5"/>
  <c r="Q14" i="5"/>
  <c r="R14" i="5"/>
  <c r="S14" i="5"/>
  <c r="Q15" i="5"/>
  <c r="R15" i="5"/>
  <c r="S15" i="5"/>
  <c r="Q16" i="5"/>
  <c r="R16" i="5"/>
  <c r="S16" i="5"/>
  <c r="Q17" i="5"/>
  <c r="R17" i="5"/>
  <c r="S17" i="5"/>
  <c r="Q18" i="5"/>
  <c r="R18" i="5"/>
  <c r="S18" i="5"/>
  <c r="Q19" i="5"/>
  <c r="R19" i="5"/>
  <c r="S19" i="5"/>
  <c r="Q20" i="5"/>
  <c r="R20" i="5"/>
  <c r="S20" i="5"/>
  <c r="Q21" i="5"/>
  <c r="R21" i="5"/>
  <c r="S21" i="5"/>
  <c r="Q22" i="5"/>
  <c r="R22" i="5"/>
  <c r="S22" i="5"/>
  <c r="Q23" i="5"/>
  <c r="R23" i="5"/>
  <c r="S23" i="5"/>
  <c r="Q24" i="5"/>
  <c r="R24" i="5"/>
  <c r="S24" i="5"/>
  <c r="R25" i="5"/>
  <c r="S25" i="5"/>
  <c r="Q28" i="5"/>
  <c r="R28" i="5"/>
  <c r="S28" i="5"/>
  <c r="Q29" i="5"/>
  <c r="R29" i="5"/>
  <c r="S29" i="5"/>
  <c r="Q30" i="5"/>
  <c r="R30" i="5"/>
  <c r="S30" i="5"/>
  <c r="Q31" i="5"/>
  <c r="R31" i="5"/>
  <c r="S31" i="5"/>
  <c r="Q32" i="5"/>
  <c r="R32" i="5"/>
  <c r="S32" i="5"/>
  <c r="Q33" i="5"/>
  <c r="R33" i="5"/>
  <c r="S33" i="5"/>
  <c r="Q34" i="5"/>
  <c r="R34" i="5"/>
  <c r="S34" i="5"/>
  <c r="Q35" i="5"/>
  <c r="R35" i="5"/>
  <c r="S35" i="5"/>
  <c r="Q36" i="5"/>
  <c r="R36" i="5"/>
  <c r="S36" i="5"/>
  <c r="Q37" i="5"/>
  <c r="R37" i="5"/>
  <c r="S37" i="5"/>
  <c r="Q38" i="5"/>
  <c r="R38" i="5"/>
  <c r="S38" i="5"/>
  <c r="Q39" i="5"/>
  <c r="R39" i="5"/>
  <c r="S39" i="5"/>
  <c r="Q40" i="5"/>
  <c r="R40" i="5"/>
  <c r="S40" i="5"/>
  <c r="Q41" i="5"/>
  <c r="R41" i="5"/>
  <c r="S41" i="5"/>
  <c r="Q43" i="5"/>
  <c r="R43" i="5"/>
  <c r="S43" i="5"/>
  <c r="Q44" i="5"/>
  <c r="R44" i="5"/>
  <c r="S44" i="5"/>
  <c r="Q45" i="5"/>
  <c r="R45" i="5"/>
  <c r="S45" i="5"/>
  <c r="R46" i="5"/>
  <c r="S46" i="5"/>
  <c r="Q47" i="5"/>
  <c r="R47" i="5"/>
  <c r="S47" i="5"/>
  <c r="Q48" i="5"/>
  <c r="R48" i="5"/>
  <c r="S48" i="5"/>
  <c r="Q49" i="5"/>
  <c r="R49" i="5"/>
  <c r="S49" i="5"/>
  <c r="R50" i="5"/>
  <c r="S50" i="5"/>
  <c r="Q51" i="5"/>
  <c r="R51" i="5"/>
  <c r="S51" i="5"/>
  <c r="Q52" i="5"/>
  <c r="R52" i="5"/>
  <c r="S52" i="5"/>
  <c r="Q53" i="5"/>
  <c r="R53" i="5"/>
  <c r="S53" i="5"/>
  <c r="Q54" i="5"/>
  <c r="R54" i="5"/>
  <c r="S54" i="5"/>
  <c r="Q55" i="5"/>
  <c r="R55" i="5"/>
  <c r="S55" i="5"/>
  <c r="Q56" i="5"/>
  <c r="R56" i="5"/>
  <c r="S56" i="5"/>
  <c r="R57" i="5"/>
  <c r="S57" i="5"/>
  <c r="Q58" i="5"/>
  <c r="R58" i="5"/>
  <c r="S58" i="5"/>
  <c r="Q59" i="5"/>
  <c r="R59" i="5"/>
  <c r="S59" i="5"/>
  <c r="Q60" i="5"/>
  <c r="R60" i="5"/>
  <c r="S60" i="5"/>
  <c r="Q61" i="5"/>
  <c r="R61" i="5"/>
  <c r="S61" i="5"/>
  <c r="Q62" i="5"/>
  <c r="R62" i="5"/>
  <c r="S62" i="5"/>
  <c r="Q63" i="5"/>
  <c r="R63" i="5"/>
  <c r="S63" i="5"/>
  <c r="Q64" i="5"/>
  <c r="R64" i="5"/>
  <c r="S64" i="5"/>
  <c r="Q65" i="5"/>
  <c r="R65" i="5"/>
  <c r="S65" i="5"/>
  <c r="Q66" i="5"/>
  <c r="R66" i="5"/>
  <c r="S66" i="5"/>
  <c r="Q67" i="5"/>
  <c r="R67" i="5"/>
  <c r="S67" i="5"/>
  <c r="R69" i="5"/>
  <c r="S69" i="5"/>
  <c r="Q70" i="5"/>
  <c r="R70" i="5"/>
  <c r="S70" i="5"/>
  <c r="Q71" i="5"/>
  <c r="R71" i="5"/>
  <c r="S71" i="5"/>
  <c r="Q73" i="5"/>
  <c r="R73" i="5"/>
  <c r="S73" i="5"/>
  <c r="Q74" i="5"/>
  <c r="R74" i="5"/>
  <c r="S74" i="5"/>
  <c r="Q75" i="5"/>
  <c r="R75" i="5"/>
  <c r="S75" i="5"/>
  <c r="Q76" i="5"/>
  <c r="R76" i="5"/>
  <c r="S76" i="5"/>
  <c r="R77" i="5"/>
  <c r="S77" i="5"/>
  <c r="Q78" i="5"/>
  <c r="R78" i="5"/>
  <c r="S78" i="5"/>
  <c r="R79" i="5"/>
  <c r="S79" i="5"/>
  <c r="Q80" i="5"/>
  <c r="R80" i="5"/>
  <c r="S80" i="5"/>
  <c r="Q81" i="5"/>
  <c r="R81" i="5"/>
  <c r="S81" i="5"/>
  <c r="S9" i="5"/>
  <c r="R9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3" i="5"/>
  <c r="N74" i="5"/>
  <c r="N75" i="5"/>
  <c r="N76" i="5"/>
  <c r="N77" i="5"/>
  <c r="N78" i="5"/>
  <c r="N79" i="5"/>
  <c r="N80" i="5"/>
  <c r="N81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E32" i="5"/>
  <c r="M25" i="5"/>
  <c r="E25" i="5"/>
  <c r="E23" i="5"/>
  <c r="O61" i="5"/>
  <c r="O37" i="5" l="1"/>
  <c r="O62" i="5"/>
  <c r="O59" i="5"/>
  <c r="O56" i="5"/>
  <c r="O46" i="5"/>
  <c r="O64" i="5"/>
  <c r="O63" i="5"/>
  <c r="O40" i="5"/>
  <c r="O36" i="5"/>
  <c r="O29" i="5"/>
  <c r="O27" i="5" s="1"/>
  <c r="O49" i="5"/>
  <c r="O80" i="5"/>
  <c r="O20" i="5"/>
  <c r="O19" i="5"/>
  <c r="O14" i="5"/>
  <c r="O13" i="5"/>
  <c r="O10" i="5"/>
  <c r="O11" i="5"/>
  <c r="O81" i="5"/>
  <c r="O76" i="5"/>
  <c r="O75" i="5"/>
  <c r="O74" i="5"/>
  <c r="O73" i="5"/>
  <c r="K72" i="5"/>
  <c r="K68" i="5"/>
  <c r="K42" i="5"/>
  <c r="K38" i="5"/>
  <c r="K35" i="5"/>
  <c r="K33" i="5"/>
  <c r="K29" i="5"/>
  <c r="K27" i="5" s="1"/>
  <c r="K21" i="5"/>
  <c r="K17" i="5"/>
  <c r="K12" i="5"/>
  <c r="J42" i="5"/>
  <c r="O68" i="5"/>
  <c r="J68" i="5"/>
  <c r="R68" i="5" l="1"/>
  <c r="S68" i="5"/>
  <c r="Q68" i="5"/>
  <c r="Q27" i="5"/>
  <c r="R27" i="5"/>
  <c r="S27" i="5"/>
  <c r="O42" i="5"/>
  <c r="O35" i="5"/>
  <c r="K26" i="5"/>
  <c r="K9" i="5"/>
  <c r="R42" i="5" l="1"/>
  <c r="Q42" i="5"/>
  <c r="K82" i="5"/>
  <c r="M32" i="5" l="1"/>
  <c r="M65" i="5"/>
  <c r="M46" i="5"/>
  <c r="J29" i="5" l="1"/>
  <c r="J27" i="5" s="1"/>
  <c r="O21" i="5"/>
  <c r="J21" i="5"/>
  <c r="I42" i="5" l="1"/>
  <c r="I29" i="5"/>
  <c r="I17" i="5"/>
  <c r="F72" i="5" l="1"/>
  <c r="F68" i="5"/>
  <c r="F42" i="5"/>
  <c r="S42" i="5" s="1"/>
  <c r="F38" i="5"/>
  <c r="F35" i="5"/>
  <c r="F33" i="5"/>
  <c r="F27" i="5"/>
  <c r="F21" i="5"/>
  <c r="F17" i="5"/>
  <c r="F12" i="5"/>
  <c r="C90" i="5"/>
  <c r="C89" i="5"/>
  <c r="C88" i="5"/>
  <c r="C87" i="5"/>
  <c r="C72" i="5"/>
  <c r="C68" i="5"/>
  <c r="C42" i="5"/>
  <c r="C38" i="5"/>
  <c r="C35" i="5"/>
  <c r="C33" i="5"/>
  <c r="C27" i="5"/>
  <c r="C21" i="5"/>
  <c r="C17" i="5"/>
  <c r="C12" i="5"/>
  <c r="B72" i="5"/>
  <c r="B42" i="5"/>
  <c r="B38" i="5"/>
  <c r="B35" i="5"/>
  <c r="B33" i="5"/>
  <c r="B27" i="5"/>
  <c r="B21" i="5"/>
  <c r="B17" i="5"/>
  <c r="B12" i="5"/>
  <c r="F9" i="5" l="1"/>
  <c r="B9" i="5"/>
  <c r="C9" i="5"/>
  <c r="B26" i="5"/>
  <c r="C26" i="5"/>
  <c r="F26" i="5"/>
  <c r="O17" i="5"/>
  <c r="B82" i="5" l="1"/>
  <c r="F82" i="5"/>
  <c r="C82" i="5"/>
  <c r="J89" i="5"/>
  <c r="J88" i="5"/>
  <c r="J87" i="5"/>
  <c r="G65" i="5" l="1"/>
  <c r="G25" i="5"/>
  <c r="G32" i="5"/>
  <c r="G23" i="5"/>
  <c r="D23" i="5"/>
  <c r="D32" i="5"/>
  <c r="D25" i="5"/>
  <c r="H24" i="5"/>
  <c r="E79" i="5"/>
  <c r="E78" i="5"/>
  <c r="E44" i="5"/>
  <c r="E45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6" i="5"/>
  <c r="E43" i="5"/>
  <c r="L10" i="5"/>
  <c r="N10" i="5"/>
  <c r="J38" i="5"/>
  <c r="M23" i="5" l="1"/>
  <c r="M67" i="5"/>
  <c r="M10" i="5"/>
  <c r="M15" i="5"/>
  <c r="M19" i="5"/>
  <c r="M24" i="5"/>
  <c r="M29" i="5"/>
  <c r="M34" i="5"/>
  <c r="M44" i="5"/>
  <c r="M49" i="5"/>
  <c r="M53" i="5"/>
  <c r="M57" i="5"/>
  <c r="M61" i="5"/>
  <c r="M66" i="5"/>
  <c r="M73" i="5"/>
  <c r="M77" i="5"/>
  <c r="M81" i="5"/>
  <c r="M11" i="5"/>
  <c r="M17" i="5"/>
  <c r="M36" i="5"/>
  <c r="M40" i="5"/>
  <c r="M47" i="5"/>
  <c r="M55" i="5"/>
  <c r="M63" i="5"/>
  <c r="M79" i="5"/>
  <c r="M39" i="5"/>
  <c r="M45" i="5"/>
  <c r="M54" i="5"/>
  <c r="M58" i="5"/>
  <c r="M82" i="5"/>
  <c r="M14" i="5"/>
  <c r="M18" i="5"/>
  <c r="M22" i="5"/>
  <c r="M28" i="5"/>
  <c r="M37" i="5"/>
  <c r="M41" i="5"/>
  <c r="M43" i="5"/>
  <c r="M48" i="5"/>
  <c r="M52" i="5"/>
  <c r="M56" i="5"/>
  <c r="M60" i="5"/>
  <c r="M64" i="5"/>
  <c r="M76" i="5"/>
  <c r="M80" i="5"/>
  <c r="M13" i="5"/>
  <c r="M31" i="5"/>
  <c r="M51" i="5"/>
  <c r="M59" i="5"/>
  <c r="M69" i="5"/>
  <c r="M75" i="5"/>
  <c r="M16" i="5"/>
  <c r="M20" i="5"/>
  <c r="M30" i="5"/>
  <c r="M35" i="5"/>
  <c r="M50" i="5"/>
  <c r="M62" i="5"/>
  <c r="M68" i="5"/>
  <c r="M74" i="5"/>
  <c r="M78" i="5"/>
  <c r="M27" i="5"/>
  <c r="M21" i="5"/>
  <c r="M33" i="5"/>
  <c r="M38" i="5"/>
  <c r="M12" i="5"/>
  <c r="M72" i="5"/>
  <c r="M42" i="5"/>
  <c r="M26" i="5"/>
  <c r="I27" i="5" l="1"/>
  <c r="I33" i="5" l="1"/>
  <c r="J17" i="5"/>
  <c r="D68" i="5" l="1"/>
  <c r="H35" i="5"/>
  <c r="D9" i="5" l="1"/>
  <c r="G44" i="5"/>
  <c r="G47" i="5"/>
  <c r="G49" i="5"/>
  <c r="G51" i="5"/>
  <c r="G53" i="5"/>
  <c r="G55" i="5"/>
  <c r="G57" i="5"/>
  <c r="G59" i="5"/>
  <c r="G61" i="5"/>
  <c r="G63" i="5"/>
  <c r="G66" i="5"/>
  <c r="G43" i="5"/>
  <c r="G45" i="5"/>
  <c r="G48" i="5"/>
  <c r="G50" i="5"/>
  <c r="G52" i="5"/>
  <c r="G54" i="5"/>
  <c r="G56" i="5"/>
  <c r="G58" i="5"/>
  <c r="G60" i="5"/>
  <c r="G62" i="5"/>
  <c r="G64" i="5"/>
  <c r="O12" i="5" l="1"/>
  <c r="O9" i="5" l="1"/>
  <c r="J72" i="5" l="1"/>
  <c r="H76" i="5"/>
  <c r="M9" i="5" l="1"/>
  <c r="I38" i="5" l="1"/>
  <c r="H81" i="5" l="1"/>
  <c r="E81" i="5"/>
  <c r="H80" i="5"/>
  <c r="E80" i="5"/>
  <c r="E77" i="5"/>
  <c r="E76" i="5"/>
  <c r="H75" i="5"/>
  <c r="E75" i="5"/>
  <c r="H74" i="5"/>
  <c r="E74" i="5"/>
  <c r="H73" i="5"/>
  <c r="E73" i="5"/>
  <c r="E69" i="5"/>
  <c r="E68" i="5"/>
  <c r="H41" i="5"/>
  <c r="E41" i="5"/>
  <c r="H40" i="5"/>
  <c r="E40" i="5"/>
  <c r="H39" i="5"/>
  <c r="E39" i="5"/>
  <c r="H37" i="5"/>
  <c r="E37" i="5"/>
  <c r="H36" i="5"/>
  <c r="E36" i="5"/>
  <c r="H34" i="5"/>
  <c r="E34" i="5"/>
  <c r="H31" i="5"/>
  <c r="E31" i="5"/>
  <c r="H30" i="5"/>
  <c r="E30" i="5"/>
  <c r="H29" i="5"/>
  <c r="E29" i="5"/>
  <c r="H28" i="5"/>
  <c r="E28" i="5"/>
  <c r="H27" i="5"/>
  <c r="E24" i="5"/>
  <c r="H22" i="5"/>
  <c r="E22" i="5"/>
  <c r="H20" i="5"/>
  <c r="E20" i="5"/>
  <c r="H18" i="5"/>
  <c r="E18" i="5"/>
  <c r="H16" i="5"/>
  <c r="E16" i="5"/>
  <c r="H15" i="5"/>
  <c r="E15" i="5"/>
  <c r="H14" i="5"/>
  <c r="E14" i="5"/>
  <c r="H13" i="5"/>
  <c r="E13" i="5"/>
  <c r="H11" i="5"/>
  <c r="E11" i="5"/>
  <c r="H10" i="5"/>
  <c r="E10" i="5"/>
  <c r="E27" i="5" l="1"/>
  <c r="H38" i="5"/>
  <c r="E42" i="5"/>
  <c r="E12" i="5"/>
  <c r="H33" i="5"/>
  <c r="H42" i="5"/>
  <c r="H12" i="5"/>
  <c r="E17" i="5"/>
  <c r="E33" i="5"/>
  <c r="E35" i="5"/>
  <c r="E72" i="5"/>
  <c r="H17" i="5"/>
  <c r="E21" i="5"/>
  <c r="E38" i="5"/>
  <c r="H72" i="5"/>
  <c r="O72" i="5"/>
  <c r="I21" i="5"/>
  <c r="S72" i="5" l="1"/>
  <c r="Q72" i="5"/>
  <c r="R72" i="5"/>
  <c r="I9" i="5"/>
  <c r="N9" i="5" s="1"/>
  <c r="E26" i="5"/>
  <c r="H26" i="5"/>
  <c r="H21" i="5"/>
  <c r="E9" i="5"/>
  <c r="D82" i="5" l="1"/>
  <c r="D31" i="5"/>
  <c r="D30" i="5"/>
  <c r="D29" i="5"/>
  <c r="D28" i="5"/>
  <c r="D81" i="5"/>
  <c r="D80" i="5"/>
  <c r="D77" i="5"/>
  <c r="D76" i="5"/>
  <c r="D75" i="5"/>
  <c r="D74" i="5"/>
  <c r="D73" i="5"/>
  <c r="D37" i="5"/>
  <c r="D36" i="5"/>
  <c r="D33" i="5"/>
  <c r="D20" i="5"/>
  <c r="D18" i="5"/>
  <c r="D13" i="5"/>
  <c r="D34" i="5"/>
  <c r="D27" i="5"/>
  <c r="D16" i="5"/>
  <c r="D15" i="5"/>
  <c r="E82" i="5"/>
  <c r="D72" i="5"/>
  <c r="D69" i="5"/>
  <c r="D41" i="5"/>
  <c r="D40" i="5"/>
  <c r="D39" i="5"/>
  <c r="D35" i="5"/>
  <c r="D24" i="5"/>
  <c r="D22" i="5"/>
  <c r="D17" i="5"/>
  <c r="D10" i="5"/>
  <c r="D42" i="5"/>
  <c r="D14" i="5"/>
  <c r="D11" i="5"/>
  <c r="D21" i="5"/>
  <c r="D12" i="5"/>
  <c r="D38" i="5"/>
  <c r="D26" i="5"/>
  <c r="H9" i="5"/>
  <c r="J12" i="5"/>
  <c r="J9" i="5" l="1"/>
  <c r="H82" i="5"/>
  <c r="G81" i="5"/>
  <c r="G80" i="5"/>
  <c r="G77" i="5"/>
  <c r="G76" i="5"/>
  <c r="G75" i="5"/>
  <c r="G74" i="5"/>
  <c r="G73" i="5"/>
  <c r="G37" i="5"/>
  <c r="G36" i="5"/>
  <c r="G20" i="5"/>
  <c r="G18" i="5"/>
  <c r="G82" i="5"/>
  <c r="G31" i="5"/>
  <c r="G30" i="5"/>
  <c r="G29" i="5"/>
  <c r="G28" i="5"/>
  <c r="G10" i="5"/>
  <c r="G69" i="5"/>
  <c r="G41" i="5"/>
  <c r="G39" i="5"/>
  <c r="G34" i="5"/>
  <c r="G33" i="5"/>
  <c r="G16" i="5"/>
  <c r="G15" i="5"/>
  <c r="G14" i="5"/>
  <c r="G11" i="5"/>
  <c r="G40" i="5"/>
  <c r="G38" i="5"/>
  <c r="G22" i="5"/>
  <c r="G17" i="5"/>
  <c r="G12" i="5"/>
  <c r="G27" i="5"/>
  <c r="G13" i="5"/>
  <c r="G42" i="5"/>
  <c r="G35" i="5"/>
  <c r="G72" i="5"/>
  <c r="G68" i="5"/>
  <c r="G24" i="5"/>
  <c r="G21" i="5"/>
  <c r="G26" i="5"/>
  <c r="G9" i="5"/>
  <c r="I72" i="5"/>
  <c r="N72" i="5" s="1"/>
  <c r="O38" i="5"/>
  <c r="L9" i="5" l="1"/>
  <c r="I35" i="5" l="1"/>
  <c r="J35" i="5"/>
  <c r="O33" i="5"/>
  <c r="E144" i="7"/>
  <c r="H143" i="7"/>
  <c r="E143" i="7"/>
  <c r="H142" i="7"/>
  <c r="E142" i="7"/>
  <c r="H141" i="7"/>
  <c r="E141" i="7"/>
  <c r="H140" i="7"/>
  <c r="E140" i="7"/>
  <c r="F139" i="7"/>
  <c r="C139" i="7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J85" i="7" s="1"/>
  <c r="K85" i="7" s="1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C31" i="7" s="1"/>
  <c r="B36" i="7"/>
  <c r="H35" i="7"/>
  <c r="E35" i="7"/>
  <c r="H34" i="7"/>
  <c r="E34" i="7"/>
  <c r="F33" i="7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L44" i="7"/>
  <c r="O26" i="5" l="1"/>
  <c r="F31" i="7"/>
  <c r="E53" i="7"/>
  <c r="H60" i="7"/>
  <c r="H139" i="7"/>
  <c r="I26" i="5"/>
  <c r="H134" i="7"/>
  <c r="E56" i="7"/>
  <c r="E36" i="7"/>
  <c r="H39" i="7"/>
  <c r="F107" i="7"/>
  <c r="E60" i="7"/>
  <c r="C107" i="7"/>
  <c r="C77" i="7" s="1"/>
  <c r="H8" i="7"/>
  <c r="H10" i="7"/>
  <c r="B31" i="7"/>
  <c r="B7" i="7" s="1"/>
  <c r="E45" i="7"/>
  <c r="H53" i="7"/>
  <c r="E78" i="7"/>
  <c r="B77" i="7"/>
  <c r="H84" i="7"/>
  <c r="F82" i="7"/>
  <c r="F77" i="7" s="1"/>
  <c r="E82" i="7"/>
  <c r="E18" i="7"/>
  <c r="H33" i="7"/>
  <c r="H36" i="7"/>
  <c r="H45" i="7"/>
  <c r="E39" i="7"/>
  <c r="H56" i="7"/>
  <c r="E74" i="7"/>
  <c r="E139" i="7"/>
  <c r="H78" i="7"/>
  <c r="H113" i="7"/>
  <c r="J33" i="5"/>
  <c r="H115" i="7"/>
  <c r="E10" i="7"/>
  <c r="C44" i="7"/>
  <c r="E44" i="7" s="1"/>
  <c r="H74" i="7"/>
  <c r="E33" i="7"/>
  <c r="H31" i="7"/>
  <c r="F44" i="7"/>
  <c r="H44" i="7" s="1"/>
  <c r="E107" i="7"/>
  <c r="H118" i="7"/>
  <c r="C17" i="7"/>
  <c r="H18" i="7"/>
  <c r="E8" i="7"/>
  <c r="F7" i="7"/>
  <c r="Q26" i="5" l="1"/>
  <c r="R26" i="5"/>
  <c r="S26" i="5"/>
  <c r="E77" i="7"/>
  <c r="H82" i="7"/>
  <c r="H107" i="7"/>
  <c r="O82" i="5"/>
  <c r="P71" i="5" s="1"/>
  <c r="I82" i="5"/>
  <c r="N82" i="5" s="1"/>
  <c r="J26" i="5"/>
  <c r="E31" i="7"/>
  <c r="E17" i="7"/>
  <c r="C7" i="7"/>
  <c r="C145" i="7" s="1"/>
  <c r="D77" i="7" s="1"/>
  <c r="H17" i="7"/>
  <c r="H77" i="7"/>
  <c r="F145" i="7"/>
  <c r="B145" i="7"/>
  <c r="D83" i="7"/>
  <c r="D17" i="7"/>
  <c r="D98" i="7"/>
  <c r="Q82" i="5" l="1"/>
  <c r="P65" i="5"/>
  <c r="P25" i="5"/>
  <c r="P26" i="5"/>
  <c r="P67" i="5"/>
  <c r="P32" i="5"/>
  <c r="P23" i="5"/>
  <c r="D123" i="7"/>
  <c r="D85" i="7"/>
  <c r="D44" i="7"/>
  <c r="D95" i="7"/>
  <c r="D45" i="7"/>
  <c r="D135" i="7"/>
  <c r="D13" i="7"/>
  <c r="D105" i="7"/>
  <c r="D107" i="7"/>
  <c r="D139" i="7"/>
  <c r="E7" i="7"/>
  <c r="P70" i="5"/>
  <c r="J82" i="5"/>
  <c r="L82" i="5" s="1"/>
  <c r="P10" i="5"/>
  <c r="P11" i="5"/>
  <c r="P13" i="5"/>
  <c r="P14" i="5"/>
  <c r="P15" i="5"/>
  <c r="P16" i="5"/>
  <c r="P18" i="5"/>
  <c r="P19" i="5"/>
  <c r="P20" i="5"/>
  <c r="P22" i="5"/>
  <c r="P24" i="5"/>
  <c r="P28" i="5"/>
  <c r="P29" i="5"/>
  <c r="P30" i="5"/>
  <c r="P31" i="5"/>
  <c r="P34" i="5"/>
  <c r="P36" i="5"/>
  <c r="P37" i="5"/>
  <c r="P39" i="5"/>
  <c r="P40" i="5"/>
  <c r="P41" i="5"/>
  <c r="P43" i="5"/>
  <c r="P44" i="5"/>
  <c r="P45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6" i="5"/>
  <c r="P69" i="5"/>
  <c r="P73" i="5"/>
  <c r="P74" i="5"/>
  <c r="P75" i="5"/>
  <c r="P76" i="5"/>
  <c r="P77" i="5"/>
  <c r="P78" i="5"/>
  <c r="P79" i="5"/>
  <c r="P80" i="5"/>
  <c r="P81" i="5"/>
  <c r="P82" i="5"/>
  <c r="P35" i="5"/>
  <c r="P42" i="5"/>
  <c r="P68" i="5"/>
  <c r="P17" i="5"/>
  <c r="P12" i="5"/>
  <c r="P27" i="5"/>
  <c r="P72" i="5"/>
  <c r="P21" i="5"/>
  <c r="P38" i="5"/>
  <c r="P33" i="5"/>
  <c r="D120" i="7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P9" i="5" l="1"/>
</calcChain>
</file>

<file path=xl/sharedStrings.xml><?xml version="1.0" encoding="utf-8"?>
<sst xmlns="http://schemas.openxmlformats.org/spreadsheetml/2006/main" count="271" uniqueCount="228">
  <si>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</si>
  <si>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</si>
  <si>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</si>
  <si>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</si>
  <si>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</si>
  <si>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</si>
  <si>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</si>
  <si>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</si>
  <si>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</si>
  <si>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</si>
  <si>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</si>
  <si>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</si>
  <si>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</si>
  <si>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</si>
  <si>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</si>
  <si>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</si>
  <si>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</si>
  <si>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</si>
  <si>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</si>
  <si>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</si>
  <si>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</si>
  <si>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</si>
  <si>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</si>
  <si>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</si>
  <si>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</si>
  <si>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</si>
  <si>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</si>
  <si>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</si>
  <si>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</si>
  <si>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</si>
  <si>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</si>
  <si>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</si>
  <si>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</si>
  <si>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</si>
  <si>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</si>
  <si>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</si>
  <si>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</si>
  <si>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</si>
  <si>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</si>
  <si>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</si>
  <si>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</si>
  <si>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</si>
  <si>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</si>
  <si>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</si>
  <si>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</si>
  <si>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</si>
  <si>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</si>
  <si>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</si>
  <si>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</si>
  <si>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</si>
  <si>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</si>
  <si>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</si>
  <si>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</si>
  <si>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</si>
  <si>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</si>
  <si>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</si>
  <si>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</si>
  <si>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</si>
  <si>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</si>
  <si>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</si>
  <si>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</si>
  <si>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</si>
  <si>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</si>
  <si>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</si>
  <si>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</si>
  <si>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</si>
  <si>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</si>
  <si>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</si>
  <si>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</si>
  <si>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</si>
  <si>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</si>
  <si>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</si>
  <si>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</si>
  <si>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</si>
  <si>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</si>
  <si>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</si>
  <si>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</si>
  <si>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</si>
  <si>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</si>
  <si>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</si>
  <si>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</si>
  <si>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</si>
  <si>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</si>
  <si>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</si>
  <si>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</si>
  <si>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</si>
  <si>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</si>
  <si>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</si>
  <si>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</si>
  <si>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</si>
  <si>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</si>
  <si>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</si>
  <si>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</si>
  <si>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</si>
  <si>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</si>
  <si>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</si>
  <si>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</si>
  <si>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</si>
  <si>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</si>
  <si>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</si>
  <si>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</si>
  <si>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</si>
  <si>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</si>
  <si>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</si>
  <si>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</si>
  <si>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</si>
  <si>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</si>
  <si>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</si>
  <si>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</si>
  <si>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</si>
  <si>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</si>
  <si>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</si>
  <si>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</si>
  <si>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</si>
  <si>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</si>
  <si>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</si>
  <si>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</si>
  <si>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</si>
  <si>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</si>
  <si>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</si>
  <si>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</si>
  <si>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</si>
  <si>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</si>
  <si>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</si>
  <si>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</si>
  <si>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</si>
  <si>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</si>
  <si>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</si>
  <si>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</si>
  <si>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</si>
  <si>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</si>
  <si>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</si>
  <si>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</si>
  <si>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</si>
  <si>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</si>
  <si>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</si>
  <si>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</si>
  <si>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</si>
  <si>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</si>
  <si>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</si>
  <si>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</si>
  <si>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</si>
  <si>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</si>
  <si>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</si>
  <si>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</si>
  <si>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</si>
  <si>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</si>
  <si>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</si>
  <si>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</si>
  <si>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</si>
  <si>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</si>
  <si>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</si>
  <si>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</si>
  <si>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</si>
  <si>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</si>
  <si>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</si>
  <si>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</si>
  <si>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</si>
  <si>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</si>
  <si>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</si>
  <si>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</si>
  <si>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</si>
  <si>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</si>
  <si>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Приложение № 2 к                                               заключению Счётной палаты</t>
  </si>
  <si>
    <t>Платежи от государственных и муниципальных унитарных предприятий</t>
  </si>
  <si>
    <t xml:space="preserve">% испол- нения уточнён- ного плана </t>
  </si>
  <si>
    <t>Доходы от оказания платных услуг (работ)</t>
  </si>
  <si>
    <t>Доходы от компенсации затрат государства</t>
  </si>
  <si>
    <t>Налог, взимаемый в связи с применением патентной системы налогообложения</t>
  </si>
  <si>
    <t>Доходы от продажи квартир</t>
  </si>
  <si>
    <t>Уточнённый  план по решению о бюджете, руб.</t>
  </si>
  <si>
    <t xml:space="preserve">Уточненный план по данным департамента финансов </t>
  </si>
  <si>
    <t>Уточнение плана, руб. (гр.11-гр. 10)</t>
  </si>
  <si>
    <t>Изменение плана, руб. (гр.11-гр.9)</t>
  </si>
  <si>
    <t>Первоначаль-              ный план, руб.</t>
  </si>
  <si>
    <t>удель-ный вес в общей сумме дохо-дов, %</t>
  </si>
  <si>
    <t>2020 год</t>
  </si>
  <si>
    <t>Прочие неналоговые  доходы бюджетов городских округов</t>
  </si>
  <si>
    <t>Налог на имущество физических лиц</t>
  </si>
  <si>
    <t>Доходы от продажи земельных участков, находящихся в государственной и муниципальной собственности</t>
  </si>
  <si>
    <t>Штрафы, неустойки, пени, уплаченные в случае просрочки исполнения постав-щиком (подрядчиком, исполнителем) обязательств, предусмотренных муници-альным контрактом, заключенным муниципальным органом, казенным учреждением городского округа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</si>
  <si>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</si>
  <si>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</si>
  <si>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</si>
  <si>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Прочие безвозмездные поступления в бюджеты городских округов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</si>
  <si>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</si>
  <si>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</si>
  <si>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Акцизы по подакцизным товарам (продукции), производимым на территории Российской Федерации</t>
  </si>
  <si>
    <t>Прочие доходы от использования иму-щества и прав, находящихся в госуда-рственной и муниципальной собствен-ности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</si>
  <si>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</si>
  <si>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установ-ленные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</si>
  <si>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установ-ленные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</si>
  <si>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установ-ленные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природопользова-ния,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</si>
  <si>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установле-нные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</si>
  <si>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</si>
  <si>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14 Кодекса Российской Федерации об административных правонарушениях, за административные правонарушения в области предприни-мательской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</si>
  <si>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установ-ленные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</si>
  <si>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установ-ленные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</si>
  <si>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Платежи, уплачиваемые в целях возме-щения вреда, причиняемого автомобиль-ным дорогам местного значения транс-портными средствами, осуществляю-щими перевозки тяжеловесных и (или) крупногабаритных грузов</t>
  </si>
  <si>
    <t>Административные штрафы, установ-ленные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</si>
  <si>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Доходы от денежных взысканий (штра-фов), поступающие в счет погашения задолженности, образовавшейся до 1 января 2020 года, подлежащие зачисле-нию в бюджет муниципального образо-вания по нормативам, действовавшим в 2019 году</t>
  </si>
  <si>
    <t>Поступления от денежных пожертвова-ний, предоставляемых физическими лицами получателям средств бюджетов городских округов</t>
  </si>
  <si>
    <t>Государственная пошлина по делам, рассматриваемым в судах общей юрисдикции, мировыми судьями</t>
  </si>
  <si>
    <t>Административные штрафы, установ-ленные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</si>
  <si>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установ-ленные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</si>
  <si>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</si>
  <si>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установ-ленные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</si>
  <si>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</si>
  <si>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установ-ленные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</si>
  <si>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установ-ленные Главой 19 Кодекса Российской Федерации об административных правонарушениях, за административ-ные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</si>
  <si>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установ-ленные Главой 20 Кодекса Российской Федерации об административных правонарушениях, за административ-ные правонарушения, посягающие на общественный порядок и общест-венную безопасность,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</si>
  <si>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(муници-пальным казенным учреждением) городского округа</t>
  </si>
  <si>
    <t>2021 год</t>
  </si>
  <si>
    <t>исполнения и уточнённого плана 2021 года, руб. (гр. 15-гр. 11)</t>
  </si>
  <si>
    <t>исполнения 2021 года и 2020 года, руб.</t>
  </si>
  <si>
    <t>Сравнительный анализ исполнения доходной части бюджета за 2020 - 2021 годы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</si>
  <si>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</si>
  <si>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</si>
  <si>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</si>
  <si>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Инициативные платежи, зачисляемые в бюджеты городских округов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</si>
  <si>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</si>
  <si>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в виде прибыли, приходящейся на доли в уставных (складочных) капи-талах хозяйственных товариществ и обществ, или дивидендов по акциям, принадлежащим городским округам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</si>
  <si>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</si>
  <si>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Доходы, получаемые в виде арендной либо иной платы за передачу в возмез-дное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муници-пальных унитарных предприятий, в том числе казенных)</t>
  </si>
  <si>
    <t>Административные штрафы, установ-ленные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</si>
  <si>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Задолженность и перерасчёты по отменённым налогам, сборам и иным обязательным платежам</t>
  </si>
  <si>
    <t xml:space="preserve">% испол- нения уточнённого плана </t>
  </si>
  <si>
    <t>Государственная пошлина за государственную регистрацию, а также за совершение прочих юридически значимых действий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</si>
</sst>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</numFmts>
  <fonts count="16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56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2" fillId="0" borderId="1" xfId="0" applyNumberFormat="1" applyFont="1" applyFill="1" applyBorder="1" applyAlignment="1">
      <alignment horizontal="justify" vertical="center" wrapText="1"/>
    </xf>
    <xf numFmtId="0" fontId="13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0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2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4" fillId="0" borderId="1" xfId="0" applyNumberFormat="1" applyFont="1" applyFill="1" applyBorder="1" applyAlignment="1">
      <alignment horizontal="right" vertical="center"/>
    </xf>
    <xf numFmtId="164" fontId="11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0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3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1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5" fillId="0" borderId="0" xfId="0" applyFont="1" applyFill="1"/>
    <xf numFmtId="167" fontId="1" fillId="0" borderId="1" xfId="3" applyNumberFormat="1" applyFont="1" applyFill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vertical="center" wrapText="1"/>
    </xf>
    <xf numFmtId="164" fontId="5" fillId="0" borderId="0" xfId="0" applyNumberFormat="1" applyFont="1" applyFill="1"/>
    <xf numFmtId="4" fontId="9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3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3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/>
    <xf numFmtId="4" fontId="1" fillId="0" borderId="0" xfId="0" applyNumberFormat="1" applyFont="1" applyFill="1"/>
    <xf numFmtId="4" fontId="1" fillId="0" borderId="1" xfId="0" applyNumberFormat="1" applyFont="1" applyFill="1" applyBorder="1"/>
    <xf numFmtId="3" fontId="9" fillId="0" borderId="0" xfId="0" applyNumberFormat="1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tabSelected="1" view="pageBreakPreview" zoomScale="80" zoomScaleSheetLayoutView="80" workbookViewId="0">
      <pane xSplit="1" ySplit="8" topLeftCell="B9" activePane="bottomRight" state="frozen"/>
      <selection pane="topRight" activeCell="B1" sqref="B1"/>
      <selection pane="bottomLeft" activeCell="A7" sqref="A7"/>
      <selection pane="bottomRight" activeCell="B22" sqref="B22"/>
    </sheetView>
  </sheetViews>
  <sheetFormatPr defaultColWidth="9.140625" defaultRowHeight="15" x14ac:dyDescent="0.25"/>
  <cols>
    <col min="1" max="1" width="36.5703125" style="88" customWidth="1"/>
    <col min="2" max="2" width="16.85546875" style="93" customWidth="1"/>
    <col min="3" max="3" width="18.28515625" style="89" customWidth="1"/>
    <col min="4" max="4" width="8.5703125" style="111" customWidth="1"/>
    <col min="5" max="5" width="15.7109375" style="111" customWidth="1"/>
    <col min="6" max="6" width="17.42578125" style="89" customWidth="1"/>
    <col min="7" max="7" width="8.5703125" style="111" customWidth="1"/>
    <col min="8" max="8" width="9.28515625" style="111" customWidth="1"/>
    <col min="9" max="9" width="18.28515625" style="93" customWidth="1"/>
    <col min="10" max="10" width="18" style="89" customWidth="1"/>
    <col min="11" max="11" width="18.28515625" style="89" customWidth="1"/>
    <col min="12" max="12" width="15.85546875" style="89" customWidth="1"/>
    <col min="13" max="13" width="8.42578125" style="89" customWidth="1"/>
    <col min="14" max="14" width="20" style="89" customWidth="1"/>
    <col min="15" max="15" width="19" style="89" customWidth="1"/>
    <col min="16" max="16" width="8.85546875" style="89" customWidth="1"/>
    <col min="17" max="17" width="13.85546875" style="89" customWidth="1"/>
    <col min="18" max="18" width="17.5703125" style="79" customWidth="1"/>
    <col min="19" max="19" width="17.28515625" style="79" customWidth="1"/>
    <col min="20" max="16384" width="9.140625" style="81"/>
  </cols>
  <sheetData>
    <row r="1" spans="1:19" s="102" customFormat="1" ht="26.25" customHeight="1" x14ac:dyDescent="0.2">
      <c r="A1" s="100"/>
      <c r="B1" s="93"/>
      <c r="C1" s="89"/>
      <c r="D1" s="101"/>
      <c r="E1" s="101"/>
      <c r="F1" s="89"/>
      <c r="G1" s="101"/>
      <c r="H1" s="101"/>
      <c r="I1" s="93"/>
      <c r="J1" s="89"/>
      <c r="K1" s="89"/>
      <c r="L1" s="89"/>
      <c r="M1" s="89"/>
      <c r="N1" s="89"/>
      <c r="O1" s="89"/>
      <c r="P1" s="89"/>
      <c r="Q1" s="89"/>
      <c r="R1" s="138" t="s">
        <v>163</v>
      </c>
      <c r="S1" s="139"/>
    </row>
    <row r="2" spans="1:19" s="102" customFormat="1" x14ac:dyDescent="0.25">
      <c r="A2" s="103"/>
      <c r="B2" s="93"/>
      <c r="C2" s="89"/>
      <c r="D2" s="101"/>
      <c r="E2" s="101"/>
      <c r="F2" s="89"/>
      <c r="G2" s="101"/>
      <c r="H2" s="101"/>
      <c r="I2" s="93"/>
      <c r="J2" s="89"/>
      <c r="K2" s="89"/>
      <c r="L2" s="89"/>
      <c r="M2" s="89"/>
      <c r="N2" s="89"/>
      <c r="O2" s="89"/>
      <c r="P2" s="89"/>
      <c r="Q2" s="89"/>
      <c r="R2" s="139"/>
      <c r="S2" s="139"/>
    </row>
    <row r="3" spans="1:19" s="102" customFormat="1" x14ac:dyDescent="0.25">
      <c r="A3" s="103"/>
      <c r="B3" s="93"/>
      <c r="C3" s="89"/>
      <c r="D3" s="101"/>
      <c r="E3" s="101"/>
      <c r="F3" s="99"/>
      <c r="G3" s="101"/>
      <c r="H3" s="101"/>
      <c r="I3" s="93"/>
      <c r="J3" s="89"/>
      <c r="K3" s="89"/>
      <c r="L3" s="89"/>
      <c r="M3" s="89"/>
      <c r="N3" s="89"/>
      <c r="O3" s="99"/>
      <c r="P3" s="89"/>
      <c r="Q3" s="89"/>
      <c r="R3" s="93"/>
      <c r="S3" s="89"/>
    </row>
    <row r="4" spans="1:19" s="102" customFormat="1" x14ac:dyDescent="0.25">
      <c r="A4" s="140" t="s">
        <v>215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</row>
    <row r="5" spans="1:19" s="102" customFormat="1" x14ac:dyDescent="0.25">
      <c r="A5" s="104"/>
      <c r="B5" s="94"/>
      <c r="C5" s="90"/>
      <c r="F5" s="90"/>
      <c r="I5" s="94"/>
      <c r="J5" s="90"/>
      <c r="K5" s="90"/>
      <c r="L5" s="90"/>
      <c r="M5" s="90"/>
      <c r="N5" s="90"/>
      <c r="O5" s="90"/>
      <c r="P5" s="90"/>
      <c r="Q5" s="90"/>
      <c r="R5" s="90"/>
      <c r="S5" s="90"/>
    </row>
    <row r="6" spans="1:19" s="105" customFormat="1" ht="21.75" customHeight="1" x14ac:dyDescent="0.2">
      <c r="A6" s="144" t="s">
        <v>0</v>
      </c>
      <c r="B6" s="142" t="s">
        <v>176</v>
      </c>
      <c r="C6" s="142"/>
      <c r="D6" s="142"/>
      <c r="E6" s="142"/>
      <c r="F6" s="142"/>
      <c r="G6" s="142"/>
      <c r="H6" s="143"/>
      <c r="I6" s="142" t="s">
        <v>212</v>
      </c>
      <c r="J6" s="142"/>
      <c r="K6" s="142"/>
      <c r="L6" s="142"/>
      <c r="M6" s="142"/>
      <c r="N6" s="142"/>
      <c r="O6" s="142"/>
      <c r="P6" s="142"/>
      <c r="Q6" s="143"/>
      <c r="R6" s="142" t="s">
        <v>56</v>
      </c>
      <c r="S6" s="143"/>
    </row>
    <row r="7" spans="1:19" s="105" customFormat="1" ht="99.75" x14ac:dyDescent="0.2">
      <c r="A7" s="145"/>
      <c r="B7" s="91" t="s">
        <v>174</v>
      </c>
      <c r="C7" s="95" t="s">
        <v>171</v>
      </c>
      <c r="D7" s="95" t="s">
        <v>175</v>
      </c>
      <c r="E7" s="91" t="s">
        <v>117</v>
      </c>
      <c r="F7" s="91" t="s">
        <v>75</v>
      </c>
      <c r="G7" s="95" t="s">
        <v>175</v>
      </c>
      <c r="H7" s="96" t="s">
        <v>165</v>
      </c>
      <c r="I7" s="91" t="s">
        <v>174</v>
      </c>
      <c r="J7" s="91" t="s">
        <v>170</v>
      </c>
      <c r="K7" s="95" t="s">
        <v>171</v>
      </c>
      <c r="L7" s="95" t="s">
        <v>172</v>
      </c>
      <c r="M7" s="95" t="s">
        <v>175</v>
      </c>
      <c r="N7" s="91" t="s">
        <v>173</v>
      </c>
      <c r="O7" s="91" t="s">
        <v>75</v>
      </c>
      <c r="P7" s="95" t="s">
        <v>175</v>
      </c>
      <c r="Q7" s="96" t="s">
        <v>226</v>
      </c>
      <c r="R7" s="91" t="s">
        <v>213</v>
      </c>
      <c r="S7" s="106" t="s">
        <v>214</v>
      </c>
    </row>
    <row r="8" spans="1:19" s="107" customFormat="1" ht="14.25" x14ac:dyDescent="0.2">
      <c r="A8" s="92">
        <v>1</v>
      </c>
      <c r="B8" s="97">
        <v>2</v>
      </c>
      <c r="C8" s="97">
        <v>3</v>
      </c>
      <c r="D8" s="97">
        <v>4</v>
      </c>
      <c r="E8" s="97">
        <v>5</v>
      </c>
      <c r="F8" s="92">
        <v>6</v>
      </c>
      <c r="G8" s="97">
        <v>7</v>
      </c>
      <c r="H8" s="97">
        <v>8</v>
      </c>
      <c r="I8" s="97">
        <v>9</v>
      </c>
      <c r="J8" s="92">
        <v>10</v>
      </c>
      <c r="K8" s="97">
        <v>11</v>
      </c>
      <c r="L8" s="97">
        <v>12</v>
      </c>
      <c r="M8" s="97">
        <v>13</v>
      </c>
      <c r="N8" s="97">
        <v>14</v>
      </c>
      <c r="O8" s="92">
        <v>15</v>
      </c>
      <c r="P8" s="97">
        <v>16</v>
      </c>
      <c r="Q8" s="97">
        <v>17</v>
      </c>
      <c r="R8" s="92">
        <v>18</v>
      </c>
      <c r="S8" s="97">
        <v>19</v>
      </c>
    </row>
    <row r="9" spans="1:19" s="105" customFormat="1" ht="14.25" x14ac:dyDescent="0.2">
      <c r="A9" s="108" t="s">
        <v>49</v>
      </c>
      <c r="B9" s="136">
        <f>B10+B12+B17+B21+B11</f>
        <v>2614317900</v>
      </c>
      <c r="C9" s="136">
        <f>C10+C12+C17+C21+C11</f>
        <v>2661636300</v>
      </c>
      <c r="D9" s="122">
        <f t="shared" ref="D9:D18" si="0">C9/C$82*100</f>
        <v>26.591743966607122</v>
      </c>
      <c r="E9" s="122">
        <f>C9-B9</f>
        <v>47318400</v>
      </c>
      <c r="F9" s="136">
        <f>F10+F12+F17+F21+F11</f>
        <v>2773110491.5500002</v>
      </c>
      <c r="G9" s="122">
        <f t="shared" ref="G9:G18" si="1">F9/F$82*100</f>
        <v>27.768189027356765</v>
      </c>
      <c r="H9" s="122">
        <f>F9/C9*100</f>
        <v>104.1881827186532</v>
      </c>
      <c r="I9" s="136">
        <f>I10+I12+I17+I21+I11</f>
        <v>2628929400</v>
      </c>
      <c r="J9" s="136">
        <f>J10+J12+J17+J21+J11</f>
        <v>2813950700</v>
      </c>
      <c r="K9" s="136">
        <f>K10+K12+K17+K21+K11</f>
        <v>2813950700</v>
      </c>
      <c r="L9" s="128">
        <f>K9-J9</f>
        <v>0</v>
      </c>
      <c r="M9" s="122">
        <f t="shared" ref="M9:M25" si="2">K9/K$82*100</f>
        <v>29.650040535118254</v>
      </c>
      <c r="N9" s="122">
        <f>K9-I9</f>
        <v>185021300</v>
      </c>
      <c r="O9" s="137">
        <f>O10+O12+O17+O21+O11+O25</f>
        <v>2940684139.3299994</v>
      </c>
      <c r="P9" s="122">
        <f t="shared" ref="P9:P45" si="3">O9/O$82*100</f>
        <v>31.710255731385995</v>
      </c>
      <c r="Q9" s="122">
        <f>O9/K9*100</f>
        <v>104.50375478610907</v>
      </c>
      <c r="R9" s="122">
        <f>O9-K9</f>
        <v>126733439.32999945</v>
      </c>
      <c r="S9" s="122">
        <f>O9-F9</f>
        <v>167573647.77999926</v>
      </c>
    </row>
    <row r="10" spans="1:19" s="111" customFormat="1" x14ac:dyDescent="0.2">
      <c r="A10" s="109" t="s">
        <v>1</v>
      </c>
      <c r="B10" s="123">
        <v>1962962000</v>
      </c>
      <c r="C10" s="123">
        <v>1962962000</v>
      </c>
      <c r="D10" s="124">
        <f t="shared" si="0"/>
        <v>19.611463414508982</v>
      </c>
      <c r="E10" s="124">
        <f>C10-B10</f>
        <v>0</v>
      </c>
      <c r="F10" s="123">
        <v>2024051779.22</v>
      </c>
      <c r="G10" s="124">
        <f t="shared" si="1"/>
        <v>20.267584929558279</v>
      </c>
      <c r="H10" s="124">
        <f t="shared" ref="H10:H42" si="4">F10/C10*100</f>
        <v>103.11212235489022</v>
      </c>
      <c r="I10" s="123">
        <v>1973671000</v>
      </c>
      <c r="J10" s="123">
        <v>1985671000</v>
      </c>
      <c r="K10" s="123">
        <v>1985671000</v>
      </c>
      <c r="L10" s="123">
        <f t="shared" ref="L10:L73" si="5">K10-J10</f>
        <v>0</v>
      </c>
      <c r="M10" s="124">
        <f t="shared" si="2"/>
        <v>20.922621579478562</v>
      </c>
      <c r="N10" s="124">
        <f t="shared" ref="N10:N73" si="6">K10-I10</f>
        <v>12000000</v>
      </c>
      <c r="O10" s="123">
        <f>1972064414.81+13618014.84+10057016.14+15795615.03+50647368.82</f>
        <v>2062182429.6399999</v>
      </c>
      <c r="P10" s="124">
        <f t="shared" si="3"/>
        <v>22.237115280104234</v>
      </c>
      <c r="Q10" s="124">
        <f t="shared" ref="Q10:Q73" si="7">O10/K10*100</f>
        <v>103.85317757271974</v>
      </c>
      <c r="R10" s="124">
        <f t="shared" ref="R10:R73" si="8">O10-K10</f>
        <v>76511429.639999866</v>
      </c>
      <c r="S10" s="124">
        <f t="shared" ref="S10:S73" si="9">O10-F10</f>
        <v>38130650.419999838</v>
      </c>
    </row>
    <row r="11" spans="1:19" s="111" customFormat="1" ht="45" x14ac:dyDescent="0.25">
      <c r="A11" s="112" t="s">
        <v>187</v>
      </c>
      <c r="B11" s="125">
        <v>8192400</v>
      </c>
      <c r="C11" s="125">
        <v>7692400</v>
      </c>
      <c r="D11" s="124">
        <f t="shared" si="0"/>
        <v>7.6852848485996605E-2</v>
      </c>
      <c r="E11" s="124">
        <f t="shared" ref="E11:E21" si="10">C11-B11</f>
        <v>-500000</v>
      </c>
      <c r="F11" s="125">
        <v>8048394.2699999996</v>
      </c>
      <c r="G11" s="124">
        <f t="shared" si="1"/>
        <v>8.0591571860210334E-2</v>
      </c>
      <c r="H11" s="124">
        <f t="shared" si="4"/>
        <v>104.62786997556029</v>
      </c>
      <c r="I11" s="125">
        <v>8192400</v>
      </c>
      <c r="J11" s="125">
        <v>8192400</v>
      </c>
      <c r="K11" s="125">
        <v>8192400</v>
      </c>
      <c r="L11" s="123">
        <f t="shared" si="5"/>
        <v>0</v>
      </c>
      <c r="M11" s="124">
        <f t="shared" si="2"/>
        <v>8.6321694292619558E-2</v>
      </c>
      <c r="N11" s="124">
        <f t="shared" si="6"/>
        <v>0</v>
      </c>
      <c r="O11" s="125">
        <f>4278115.5+30086.85+5688144.42-729528.52</f>
        <v>9266818.25</v>
      </c>
      <c r="P11" s="124">
        <f t="shared" si="3"/>
        <v>9.9926807028899681E-2</v>
      </c>
      <c r="Q11" s="124">
        <f t="shared" si="7"/>
        <v>113.11481678140716</v>
      </c>
      <c r="R11" s="124">
        <f t="shared" si="8"/>
        <v>1074418.25</v>
      </c>
      <c r="S11" s="124">
        <f t="shared" si="9"/>
        <v>1218423.9800000004</v>
      </c>
    </row>
    <row r="12" spans="1:19" s="111" customFormat="1" x14ac:dyDescent="0.2">
      <c r="A12" s="109" t="s">
        <v>7</v>
      </c>
      <c r="B12" s="123">
        <f>B13+B14+B15+B16</f>
        <v>456960800</v>
      </c>
      <c r="C12" s="123">
        <f>C13+C14+C15+C16</f>
        <v>507769200</v>
      </c>
      <c r="D12" s="124">
        <f t="shared" si="0"/>
        <v>5.0729953452050998</v>
      </c>
      <c r="E12" s="124">
        <f t="shared" si="10"/>
        <v>50808400</v>
      </c>
      <c r="F12" s="123">
        <f>F13+F14+F15+F16</f>
        <v>527938589.12</v>
      </c>
      <c r="G12" s="124">
        <f t="shared" si="1"/>
        <v>5.2864458816879685</v>
      </c>
      <c r="H12" s="124">
        <f t="shared" si="4"/>
        <v>103.97215686181833</v>
      </c>
      <c r="I12" s="123">
        <v>457740000</v>
      </c>
      <c r="J12" s="123">
        <f>J13+J14+J15+J16</f>
        <v>612884300</v>
      </c>
      <c r="K12" s="123">
        <f>K13+K14+K15+K16</f>
        <v>612884300</v>
      </c>
      <c r="L12" s="123">
        <f t="shared" si="5"/>
        <v>0</v>
      </c>
      <c r="M12" s="124">
        <f t="shared" si="2"/>
        <v>6.4578403375501843</v>
      </c>
      <c r="N12" s="124">
        <f t="shared" si="6"/>
        <v>155144300</v>
      </c>
      <c r="O12" s="123">
        <f>O13+O14+O15+O16</f>
        <v>633540362.81000006</v>
      </c>
      <c r="P12" s="124">
        <f t="shared" si="3"/>
        <v>6.8316507210588666</v>
      </c>
      <c r="Q12" s="124">
        <f t="shared" si="7"/>
        <v>103.37030379306502</v>
      </c>
      <c r="R12" s="124">
        <f t="shared" si="8"/>
        <v>20656062.810000062</v>
      </c>
      <c r="S12" s="124">
        <f t="shared" si="9"/>
        <v>105601773.69000006</v>
      </c>
    </row>
    <row r="13" spans="1:19" s="111" customFormat="1" ht="45" x14ac:dyDescent="0.2">
      <c r="A13" s="113" t="s">
        <v>161</v>
      </c>
      <c r="B13" s="123">
        <v>353830000</v>
      </c>
      <c r="C13" s="123">
        <v>430000000</v>
      </c>
      <c r="D13" s="124">
        <f t="shared" si="0"/>
        <v>4.2960226780950732</v>
      </c>
      <c r="E13" s="124">
        <f t="shared" si="10"/>
        <v>76170000</v>
      </c>
      <c r="F13" s="123">
        <v>446046041.79000002</v>
      </c>
      <c r="G13" s="124">
        <f t="shared" si="1"/>
        <v>4.4664252798690454</v>
      </c>
      <c r="H13" s="124">
        <f t="shared" si="4"/>
        <v>103.7316376255814</v>
      </c>
      <c r="I13" s="123">
        <v>430496400</v>
      </c>
      <c r="J13" s="123">
        <v>571487000</v>
      </c>
      <c r="K13" s="123">
        <v>571487000</v>
      </c>
      <c r="L13" s="123">
        <f t="shared" si="5"/>
        <v>0</v>
      </c>
      <c r="M13" s="124">
        <f t="shared" si="2"/>
        <v>6.0216451963046573</v>
      </c>
      <c r="N13" s="124">
        <f t="shared" si="6"/>
        <v>140990600</v>
      </c>
      <c r="O13" s="123">
        <f>457848793.7+18557.56+128111896.1+186.51+6946.61</f>
        <v>585986380.48000002</v>
      </c>
      <c r="P13" s="124">
        <f t="shared" si="3"/>
        <v>6.3188622441999822</v>
      </c>
      <c r="Q13" s="124">
        <f t="shared" si="7"/>
        <v>102.53713216223642</v>
      </c>
      <c r="R13" s="124">
        <f t="shared" si="8"/>
        <v>14499380.480000019</v>
      </c>
      <c r="S13" s="124">
        <f t="shared" si="9"/>
        <v>139940338.69</v>
      </c>
    </row>
    <row r="14" spans="1:19" s="111" customFormat="1" ht="30" x14ac:dyDescent="0.2">
      <c r="A14" s="113" t="s">
        <v>119</v>
      </c>
      <c r="B14" s="123">
        <v>75887200</v>
      </c>
      <c r="C14" s="123">
        <v>55887200</v>
      </c>
      <c r="D14" s="124">
        <f t="shared" si="0"/>
        <v>0.55835506654705813</v>
      </c>
      <c r="E14" s="124">
        <f t="shared" si="10"/>
        <v>-20000000</v>
      </c>
      <c r="F14" s="123">
        <v>57471450.719999999</v>
      </c>
      <c r="G14" s="124">
        <f t="shared" si="1"/>
        <v>0.57548305851216919</v>
      </c>
      <c r="H14" s="124">
        <f t="shared" si="4"/>
        <v>102.83472909718145</v>
      </c>
      <c r="I14" s="123">
        <v>0</v>
      </c>
      <c r="J14" s="123">
        <v>17866000</v>
      </c>
      <c r="K14" s="123">
        <v>17866000</v>
      </c>
      <c r="L14" s="123">
        <f t="shared" si="5"/>
        <v>0</v>
      </c>
      <c r="M14" s="124">
        <f t="shared" si="2"/>
        <v>0.18825049927151274</v>
      </c>
      <c r="N14" s="124">
        <f t="shared" si="6"/>
        <v>17866000</v>
      </c>
      <c r="O14" s="123">
        <f>17766145.95-14259.76</f>
        <v>17751886.189999998</v>
      </c>
      <c r="P14" s="124">
        <f t="shared" si="3"/>
        <v>0.19142377220003412</v>
      </c>
      <c r="Q14" s="124">
        <f t="shared" si="7"/>
        <v>99.361279469383163</v>
      </c>
      <c r="R14" s="124">
        <f t="shared" si="8"/>
        <v>-114113.81000000238</v>
      </c>
      <c r="S14" s="124">
        <f t="shared" si="9"/>
        <v>-39719564.530000001</v>
      </c>
    </row>
    <row r="15" spans="1:19" s="111" customFormat="1" x14ac:dyDescent="0.2">
      <c r="A15" s="113" t="s">
        <v>50</v>
      </c>
      <c r="B15" s="123">
        <v>1243600</v>
      </c>
      <c r="C15" s="123">
        <v>882000</v>
      </c>
      <c r="D15" s="124">
        <f t="shared" si="0"/>
        <v>8.8118418653019871E-3</v>
      </c>
      <c r="E15" s="124">
        <f t="shared" si="10"/>
        <v>-361600</v>
      </c>
      <c r="F15" s="123">
        <v>882058</v>
      </c>
      <c r="G15" s="124">
        <f t="shared" si="1"/>
        <v>8.8323755406522104E-3</v>
      </c>
      <c r="H15" s="124">
        <f t="shared" si="4"/>
        <v>100.00657596371883</v>
      </c>
      <c r="I15" s="123">
        <v>1243600</v>
      </c>
      <c r="J15" s="123">
        <v>405300</v>
      </c>
      <c r="K15" s="123">
        <v>405300</v>
      </c>
      <c r="L15" s="123">
        <f t="shared" si="5"/>
        <v>0</v>
      </c>
      <c r="M15" s="124">
        <f t="shared" si="2"/>
        <v>4.2705657312629638E-3</v>
      </c>
      <c r="N15" s="124">
        <f t="shared" si="6"/>
        <v>-838300</v>
      </c>
      <c r="O15" s="123">
        <v>405283.1</v>
      </c>
      <c r="P15" s="124">
        <f t="shared" si="3"/>
        <v>4.3702860068259401E-3</v>
      </c>
      <c r="Q15" s="124">
        <f t="shared" si="7"/>
        <v>99.995830249198121</v>
      </c>
      <c r="R15" s="124">
        <f t="shared" si="8"/>
        <v>-16.900000000023283</v>
      </c>
      <c r="S15" s="124">
        <f t="shared" si="9"/>
        <v>-476774.9</v>
      </c>
    </row>
    <row r="16" spans="1:19" s="111" customFormat="1" ht="45" x14ac:dyDescent="0.2">
      <c r="A16" s="113" t="s">
        <v>168</v>
      </c>
      <c r="B16" s="126">
        <v>26000000</v>
      </c>
      <c r="C16" s="126">
        <v>21000000</v>
      </c>
      <c r="D16" s="124">
        <f t="shared" si="0"/>
        <v>0.20980575869766638</v>
      </c>
      <c r="E16" s="124">
        <f t="shared" si="10"/>
        <v>-5000000</v>
      </c>
      <c r="F16" s="126">
        <v>23539038.609999999</v>
      </c>
      <c r="G16" s="124">
        <f t="shared" si="1"/>
        <v>0.23570516776610156</v>
      </c>
      <c r="H16" s="124">
        <f t="shared" si="4"/>
        <v>112.09066004761905</v>
      </c>
      <c r="I16" s="126">
        <v>26000000</v>
      </c>
      <c r="J16" s="126">
        <v>23126000</v>
      </c>
      <c r="K16" s="126">
        <v>23126000</v>
      </c>
      <c r="L16" s="123">
        <f t="shared" si="5"/>
        <v>0</v>
      </c>
      <c r="M16" s="124">
        <f t="shared" si="2"/>
        <v>0.24367407624275181</v>
      </c>
      <c r="N16" s="124">
        <f t="shared" si="6"/>
        <v>-2874000</v>
      </c>
      <c r="O16" s="126">
        <v>29396813.039999999</v>
      </c>
      <c r="P16" s="124">
        <f t="shared" si="3"/>
        <v>0.3169944186520246</v>
      </c>
      <c r="Q16" s="124">
        <f t="shared" si="7"/>
        <v>127.11585678457146</v>
      </c>
      <c r="R16" s="124">
        <f t="shared" si="8"/>
        <v>6270813.0399999991</v>
      </c>
      <c r="S16" s="124">
        <f t="shared" si="9"/>
        <v>5857774.4299999997</v>
      </c>
    </row>
    <row r="17" spans="1:19" s="111" customFormat="1" x14ac:dyDescent="0.2">
      <c r="A17" s="113" t="s">
        <v>10</v>
      </c>
      <c r="B17" s="123">
        <f>B18+B20+B19</f>
        <v>164387700</v>
      </c>
      <c r="C17" s="123">
        <f>C18+C20+C19</f>
        <v>161387700</v>
      </c>
      <c r="D17" s="124">
        <f t="shared" si="0"/>
        <v>1.6123842306176843</v>
      </c>
      <c r="E17" s="124">
        <f t="shared" si="10"/>
        <v>-3000000</v>
      </c>
      <c r="F17" s="123">
        <f>F18+F20+F19</f>
        <v>186634975.69</v>
      </c>
      <c r="G17" s="124">
        <f t="shared" si="1"/>
        <v>1.8688455796722847</v>
      </c>
      <c r="H17" s="124">
        <f t="shared" si="4"/>
        <v>115.64386610008073</v>
      </c>
      <c r="I17" s="123">
        <f>I18+I20+I19</f>
        <v>167623900</v>
      </c>
      <c r="J17" s="123">
        <f>J18+J20+J19</f>
        <v>184764000</v>
      </c>
      <c r="K17" s="123">
        <f>K18+K20+K19</f>
        <v>184764000</v>
      </c>
      <c r="L17" s="123">
        <f t="shared" si="5"/>
        <v>0</v>
      </c>
      <c r="M17" s="124">
        <f t="shared" si="2"/>
        <v>1.9468216303258581</v>
      </c>
      <c r="N17" s="124">
        <f t="shared" si="6"/>
        <v>17140100</v>
      </c>
      <c r="O17" s="123">
        <f>O18+O20+O19</f>
        <v>211107973.25</v>
      </c>
      <c r="P17" s="124">
        <f t="shared" si="3"/>
        <v>2.27643891744773</v>
      </c>
      <c r="Q17" s="124">
        <f t="shared" si="7"/>
        <v>114.25817434673422</v>
      </c>
      <c r="R17" s="124">
        <f t="shared" si="8"/>
        <v>26343973.25</v>
      </c>
      <c r="S17" s="124">
        <f t="shared" si="9"/>
        <v>24472997.560000002</v>
      </c>
    </row>
    <row r="18" spans="1:19" s="111" customFormat="1" ht="15.75" customHeight="1" x14ac:dyDescent="0.2">
      <c r="A18" s="114" t="s">
        <v>178</v>
      </c>
      <c r="B18" s="123">
        <v>51000000</v>
      </c>
      <c r="C18" s="123">
        <v>51000000</v>
      </c>
      <c r="D18" s="124">
        <f t="shared" si="0"/>
        <v>0.50952827112290411</v>
      </c>
      <c r="E18" s="124">
        <f t="shared" si="10"/>
        <v>0</v>
      </c>
      <c r="F18" s="123">
        <v>69419037.340000004</v>
      </c>
      <c r="G18" s="124">
        <f t="shared" si="1"/>
        <v>0.69511869679481231</v>
      </c>
      <c r="H18" s="124">
        <f t="shared" si="4"/>
        <v>136.11575949019607</v>
      </c>
      <c r="I18" s="123">
        <v>54000000</v>
      </c>
      <c r="J18" s="123">
        <v>60711000</v>
      </c>
      <c r="K18" s="123">
        <v>60711000</v>
      </c>
      <c r="L18" s="123">
        <f t="shared" si="5"/>
        <v>0</v>
      </c>
      <c r="M18" s="124">
        <f t="shared" si="2"/>
        <v>0.6396997683461777</v>
      </c>
      <c r="N18" s="124">
        <f t="shared" si="6"/>
        <v>6711000</v>
      </c>
      <c r="O18" s="123">
        <v>79459564.930000007</v>
      </c>
      <c r="P18" s="124">
        <f t="shared" si="3"/>
        <v>0.85683569021766837</v>
      </c>
      <c r="Q18" s="124">
        <f t="shared" si="7"/>
        <v>130.88166053927625</v>
      </c>
      <c r="R18" s="124">
        <f t="shared" si="8"/>
        <v>18748564.930000007</v>
      </c>
      <c r="S18" s="124">
        <f t="shared" si="9"/>
        <v>10040527.590000004</v>
      </c>
    </row>
    <row r="19" spans="1:19" s="111" customFormat="1" x14ac:dyDescent="0.2">
      <c r="A19" s="114" t="s">
        <v>15</v>
      </c>
      <c r="B19" s="123">
        <v>44943000</v>
      </c>
      <c r="C19" s="123">
        <v>44943000</v>
      </c>
      <c r="D19" s="124">
        <v>0</v>
      </c>
      <c r="E19" s="124">
        <v>0</v>
      </c>
      <c r="F19" s="123">
        <v>56497476.579999998</v>
      </c>
      <c r="G19" s="124">
        <v>0</v>
      </c>
      <c r="H19" s="124">
        <v>0</v>
      </c>
      <c r="I19" s="123">
        <v>44943000</v>
      </c>
      <c r="J19" s="123">
        <v>54780000</v>
      </c>
      <c r="K19" s="123">
        <v>54780000</v>
      </c>
      <c r="L19" s="123">
        <f t="shared" si="5"/>
        <v>0</v>
      </c>
      <c r="M19" s="124">
        <f t="shared" si="2"/>
        <v>0.57720599743050871</v>
      </c>
      <c r="N19" s="124">
        <f t="shared" si="6"/>
        <v>9837000</v>
      </c>
      <c r="O19" s="123">
        <f>28616484.44+32446821.56</f>
        <v>61063306</v>
      </c>
      <c r="P19" s="124">
        <f t="shared" si="3"/>
        <v>0.65846345861036526</v>
      </c>
      <c r="Q19" s="124">
        <f t="shared" si="7"/>
        <v>111.47007301935012</v>
      </c>
      <c r="R19" s="124">
        <f t="shared" si="8"/>
        <v>6283306</v>
      </c>
      <c r="S19" s="124">
        <f t="shared" si="9"/>
        <v>4565829.4200000018</v>
      </c>
    </row>
    <row r="20" spans="1:19" s="111" customFormat="1" x14ac:dyDescent="0.2">
      <c r="A20" s="114" t="s">
        <v>12</v>
      </c>
      <c r="B20" s="123">
        <v>68444700</v>
      </c>
      <c r="C20" s="123">
        <v>65444700</v>
      </c>
      <c r="D20" s="124">
        <f t="shared" ref="D20:D25" si="11">C20/C$82*100</f>
        <v>0.65384166363053176</v>
      </c>
      <c r="E20" s="124">
        <f t="shared" si="10"/>
        <v>-3000000</v>
      </c>
      <c r="F20" s="123">
        <v>60718461.770000003</v>
      </c>
      <c r="G20" s="124">
        <f t="shared" ref="G20:G25" si="12">F20/F$82*100</f>
        <v>0.6079965904774679</v>
      </c>
      <c r="H20" s="124">
        <f t="shared" si="4"/>
        <v>92.778271991467605</v>
      </c>
      <c r="I20" s="123">
        <v>68680900</v>
      </c>
      <c r="J20" s="123">
        <v>69273000</v>
      </c>
      <c r="K20" s="123">
        <v>69273000</v>
      </c>
      <c r="L20" s="123">
        <f t="shared" si="5"/>
        <v>0</v>
      </c>
      <c r="M20" s="124">
        <f t="shared" si="2"/>
        <v>0.72991586454917179</v>
      </c>
      <c r="N20" s="124">
        <f t="shared" si="6"/>
        <v>592100</v>
      </c>
      <c r="O20" s="123">
        <f>58238678.42+12346423.9</f>
        <v>70585102.320000008</v>
      </c>
      <c r="P20" s="124">
        <f t="shared" si="3"/>
        <v>0.76113976861969646</v>
      </c>
      <c r="Q20" s="124">
        <f t="shared" si="7"/>
        <v>101.89410350352952</v>
      </c>
      <c r="R20" s="124">
        <f t="shared" si="8"/>
        <v>1312102.3200000077</v>
      </c>
      <c r="S20" s="124">
        <f t="shared" si="9"/>
        <v>9866640.5500000045</v>
      </c>
    </row>
    <row r="21" spans="1:19" s="111" customFormat="1" x14ac:dyDescent="0.2">
      <c r="A21" s="113" t="s">
        <v>18</v>
      </c>
      <c r="B21" s="123">
        <f>B22+B24</f>
        <v>21815000</v>
      </c>
      <c r="C21" s="123">
        <f>C22+C24</f>
        <v>21825000</v>
      </c>
      <c r="D21" s="124">
        <f t="shared" si="11"/>
        <v>0.21804812778936042</v>
      </c>
      <c r="E21" s="124">
        <f t="shared" si="10"/>
        <v>10000</v>
      </c>
      <c r="F21" s="123">
        <f>F22+F24</f>
        <v>26436753.25</v>
      </c>
      <c r="G21" s="124">
        <f t="shared" si="12"/>
        <v>0.26472106457801853</v>
      </c>
      <c r="H21" s="124">
        <f t="shared" si="4"/>
        <v>121.1305990836197</v>
      </c>
      <c r="I21" s="123">
        <f>I22+I24</f>
        <v>21702100</v>
      </c>
      <c r="J21" s="123">
        <f>J22+J24+J23</f>
        <v>22439000</v>
      </c>
      <c r="K21" s="123">
        <f>K22+K24+K23</f>
        <v>22439000</v>
      </c>
      <c r="L21" s="123">
        <f t="shared" si="5"/>
        <v>0</v>
      </c>
      <c r="M21" s="124">
        <f t="shared" si="2"/>
        <v>0.23643529347103293</v>
      </c>
      <c r="N21" s="124">
        <f t="shared" si="6"/>
        <v>736900</v>
      </c>
      <c r="O21" s="123">
        <f>O22+O24+O23</f>
        <v>24586564.219999999</v>
      </c>
      <c r="P21" s="124">
        <f t="shared" si="3"/>
        <v>0.26512410107056861</v>
      </c>
      <c r="Q21" s="124">
        <f t="shared" si="7"/>
        <v>109.5706770355185</v>
      </c>
      <c r="R21" s="124">
        <f t="shared" si="8"/>
        <v>2147564.2199999988</v>
      </c>
      <c r="S21" s="124">
        <f t="shared" si="9"/>
        <v>-1850189.0300000012</v>
      </c>
    </row>
    <row r="22" spans="1:19" s="111" customFormat="1" ht="47.25" customHeight="1" x14ac:dyDescent="0.2">
      <c r="A22" s="114" t="s">
        <v>202</v>
      </c>
      <c r="B22" s="123">
        <v>21700000</v>
      </c>
      <c r="C22" s="123">
        <v>21700000</v>
      </c>
      <c r="D22" s="124">
        <f t="shared" si="11"/>
        <v>0.2167992839875886</v>
      </c>
      <c r="E22" s="124">
        <f>C22-B22</f>
        <v>0</v>
      </c>
      <c r="F22" s="123">
        <v>26302353.25</v>
      </c>
      <c r="G22" s="124">
        <f t="shared" si="12"/>
        <v>0.26337526728048971</v>
      </c>
      <c r="H22" s="124">
        <f t="shared" si="4"/>
        <v>121.20900115207374</v>
      </c>
      <c r="I22" s="123">
        <v>21587100</v>
      </c>
      <c r="J22" s="123">
        <v>22319000</v>
      </c>
      <c r="K22" s="123">
        <v>22319000</v>
      </c>
      <c r="L22" s="123">
        <f t="shared" si="5"/>
        <v>0</v>
      </c>
      <c r="M22" s="124">
        <f t="shared" si="2"/>
        <v>0.23517087726636587</v>
      </c>
      <c r="N22" s="124">
        <f t="shared" si="6"/>
        <v>731900</v>
      </c>
      <c r="O22" s="123">
        <v>24288364.219999999</v>
      </c>
      <c r="P22" s="124">
        <f t="shared" si="3"/>
        <v>0.26190852339847842</v>
      </c>
      <c r="Q22" s="124">
        <f t="shared" si="7"/>
        <v>108.82371172543573</v>
      </c>
      <c r="R22" s="124">
        <f t="shared" si="8"/>
        <v>1969364.2199999988</v>
      </c>
      <c r="S22" s="124">
        <f t="shared" si="9"/>
        <v>-2013989.0300000012</v>
      </c>
    </row>
    <row r="23" spans="1:19" s="111" customFormat="1" ht="45" x14ac:dyDescent="0.2">
      <c r="A23" s="114" t="s">
        <v>216</v>
      </c>
      <c r="B23" s="123">
        <v>0</v>
      </c>
      <c r="C23" s="123">
        <v>0</v>
      </c>
      <c r="D23" s="124">
        <f t="shared" si="11"/>
        <v>0</v>
      </c>
      <c r="E23" s="124">
        <f>C23-B23</f>
        <v>0</v>
      </c>
      <c r="F23" s="123">
        <v>0</v>
      </c>
      <c r="G23" s="124">
        <f t="shared" si="12"/>
        <v>0</v>
      </c>
      <c r="H23" s="124">
        <v>0</v>
      </c>
      <c r="I23" s="123">
        <v>0</v>
      </c>
      <c r="J23" s="123">
        <v>5000</v>
      </c>
      <c r="K23" s="123">
        <v>5000</v>
      </c>
      <c r="L23" s="123">
        <f t="shared" si="5"/>
        <v>0</v>
      </c>
      <c r="M23" s="124">
        <f t="shared" si="2"/>
        <v>5.2684008527793779E-5</v>
      </c>
      <c r="N23" s="124">
        <f t="shared" si="6"/>
        <v>5000</v>
      </c>
      <c r="O23" s="123">
        <v>5000</v>
      </c>
      <c r="P23" s="124">
        <f t="shared" si="3"/>
        <v>5.3916459961270789E-5</v>
      </c>
      <c r="Q23" s="124">
        <f t="shared" si="7"/>
        <v>100</v>
      </c>
      <c r="R23" s="124">
        <f t="shared" si="8"/>
        <v>0</v>
      </c>
      <c r="S23" s="124">
        <f t="shared" si="9"/>
        <v>5000</v>
      </c>
    </row>
    <row r="24" spans="1:19" s="111" customFormat="1" ht="60" x14ac:dyDescent="0.2">
      <c r="A24" s="114" t="s">
        <v>227</v>
      </c>
      <c r="B24" s="123">
        <v>115000</v>
      </c>
      <c r="C24" s="123">
        <v>125000</v>
      </c>
      <c r="D24" s="124">
        <f t="shared" si="11"/>
        <v>1.2488438017718235E-3</v>
      </c>
      <c r="E24" s="124">
        <f t="shared" ref="E24:E81" si="13">C24-B24</f>
        <v>10000</v>
      </c>
      <c r="F24" s="123">
        <v>134400</v>
      </c>
      <c r="G24" s="124">
        <f t="shared" si="12"/>
        <v>1.3457972975287988E-3</v>
      </c>
      <c r="H24" s="124">
        <f t="shared" si="4"/>
        <v>107.52</v>
      </c>
      <c r="I24" s="123">
        <v>115000</v>
      </c>
      <c r="J24" s="123">
        <v>115000</v>
      </c>
      <c r="K24" s="123">
        <v>115000</v>
      </c>
      <c r="L24" s="123">
        <f t="shared" si="5"/>
        <v>0</v>
      </c>
      <c r="M24" s="124">
        <f t="shared" si="2"/>
        <v>1.211732196139257E-3</v>
      </c>
      <c r="N24" s="124">
        <f t="shared" si="6"/>
        <v>0</v>
      </c>
      <c r="O24" s="123">
        <v>293200</v>
      </c>
      <c r="P24" s="124">
        <f t="shared" si="3"/>
        <v>3.1616612121289191E-3</v>
      </c>
      <c r="Q24" s="124">
        <f t="shared" si="7"/>
        <v>254.95652173913044</v>
      </c>
      <c r="R24" s="124">
        <f t="shared" si="8"/>
        <v>178200</v>
      </c>
      <c r="S24" s="124">
        <f t="shared" si="9"/>
        <v>158800</v>
      </c>
    </row>
    <row r="25" spans="1:19" s="111" customFormat="1" ht="47.25" customHeight="1" x14ac:dyDescent="0.2">
      <c r="A25" s="114" t="s">
        <v>225</v>
      </c>
      <c r="B25" s="123">
        <v>0</v>
      </c>
      <c r="C25" s="123">
        <v>0</v>
      </c>
      <c r="D25" s="124">
        <f t="shared" si="11"/>
        <v>0</v>
      </c>
      <c r="E25" s="124">
        <f t="shared" si="13"/>
        <v>0</v>
      </c>
      <c r="F25" s="123">
        <v>0</v>
      </c>
      <c r="G25" s="124">
        <f t="shared" si="12"/>
        <v>0</v>
      </c>
      <c r="H25" s="124">
        <v>0</v>
      </c>
      <c r="I25" s="123">
        <v>0</v>
      </c>
      <c r="J25" s="123">
        <v>0</v>
      </c>
      <c r="K25" s="123">
        <v>0</v>
      </c>
      <c r="L25" s="123">
        <f t="shared" si="5"/>
        <v>0</v>
      </c>
      <c r="M25" s="124">
        <f t="shared" si="2"/>
        <v>0</v>
      </c>
      <c r="N25" s="124">
        <f t="shared" si="6"/>
        <v>0</v>
      </c>
      <c r="O25" s="123">
        <v>-8.84</v>
      </c>
      <c r="P25" s="124">
        <f t="shared" si="3"/>
        <v>-9.5324301211526752E-8</v>
      </c>
      <c r="Q25" s="124">
        <v>0</v>
      </c>
      <c r="R25" s="124">
        <f t="shared" si="8"/>
        <v>-8.84</v>
      </c>
      <c r="S25" s="124">
        <f t="shared" si="9"/>
        <v>-8.84</v>
      </c>
    </row>
    <row r="26" spans="1:19" s="80" customFormat="1" ht="14.25" x14ac:dyDescent="0.2">
      <c r="A26" s="85" t="s">
        <v>20</v>
      </c>
      <c r="B26" s="106">
        <f>B27+B33+B35+B38+B42+B68+B81</f>
        <v>389331174</v>
      </c>
      <c r="C26" s="106">
        <f>C27+C33+C35+C38+C42+C68</f>
        <v>440136287</v>
      </c>
      <c r="D26" s="122">
        <f t="shared" ref="D26:D32" si="14">C26/C$82*100</f>
        <v>4.3972917916385157</v>
      </c>
      <c r="E26" s="122">
        <f t="shared" si="13"/>
        <v>50805113</v>
      </c>
      <c r="F26" s="106">
        <f>F27+F33+F35+F38+F42+F68</f>
        <v>486805166.51000011</v>
      </c>
      <c r="G26" s="122">
        <f t="shared" ref="G26:G32" si="15">F26/F$82*100</f>
        <v>4.8745615886325524</v>
      </c>
      <c r="H26" s="122">
        <f t="shared" si="4"/>
        <v>110.60327923155313</v>
      </c>
      <c r="I26" s="106">
        <f>I27+I33+I35+I38+I42+I68+I81</f>
        <v>406400037</v>
      </c>
      <c r="J26" s="106">
        <f>J27+J33+J35+J38+J42+J68</f>
        <v>749716584</v>
      </c>
      <c r="K26" s="106">
        <f>K27+K33+K35+K38+K42+K68</f>
        <v>749716584</v>
      </c>
      <c r="L26" s="137">
        <f t="shared" si="5"/>
        <v>0</v>
      </c>
      <c r="M26" s="122">
        <f t="shared" ref="M26:M69" si="16">K26/K$82*100</f>
        <v>7.8996149809768852</v>
      </c>
      <c r="N26" s="122">
        <f t="shared" si="6"/>
        <v>343316547</v>
      </c>
      <c r="O26" s="106">
        <f>O27+O33+O35+O38+O42+O68</f>
        <v>799396141.75000012</v>
      </c>
      <c r="P26" s="122">
        <f t="shared" si="3"/>
        <v>8.6201220139716455</v>
      </c>
      <c r="Q26" s="122">
        <f t="shared" si="7"/>
        <v>106.62644508741454</v>
      </c>
      <c r="R26" s="122">
        <f t="shared" si="8"/>
        <v>49679557.750000119</v>
      </c>
      <c r="S26" s="122">
        <f t="shared" si="9"/>
        <v>312590975.24000001</v>
      </c>
    </row>
    <row r="27" spans="1:19" s="111" customFormat="1" ht="45" x14ac:dyDescent="0.2">
      <c r="A27" s="113" t="s">
        <v>21</v>
      </c>
      <c r="B27" s="127">
        <f>B28+B29+B30+B31</f>
        <v>334148468</v>
      </c>
      <c r="C27" s="127">
        <f>C28+C29+C30+C31</f>
        <v>362819102</v>
      </c>
      <c r="D27" s="124">
        <f t="shared" si="14"/>
        <v>3.6248350935769524</v>
      </c>
      <c r="E27" s="124">
        <f t="shared" si="13"/>
        <v>28670634</v>
      </c>
      <c r="F27" s="127">
        <f>F28+F29+F30+F31</f>
        <v>395277914.14000005</v>
      </c>
      <c r="G27" s="124">
        <f t="shared" si="15"/>
        <v>3.9580650939169093</v>
      </c>
      <c r="H27" s="124">
        <f t="shared" si="4"/>
        <v>108.94627982955541</v>
      </c>
      <c r="I27" s="127">
        <f>I28+I29+I30+I31</f>
        <v>353990598</v>
      </c>
      <c r="J27" s="127">
        <f>J28+J29+J30+J31+J32</f>
        <v>463222470</v>
      </c>
      <c r="K27" s="127">
        <f>K28+K29+K30+K31+K32</f>
        <v>463222470</v>
      </c>
      <c r="L27" s="123">
        <f t="shared" si="5"/>
        <v>0</v>
      </c>
      <c r="M27" s="124">
        <f t="shared" si="16"/>
        <v>4.8808833119491402</v>
      </c>
      <c r="N27" s="124">
        <f t="shared" si="6"/>
        <v>109231872</v>
      </c>
      <c r="O27" s="127">
        <f>O28+O29+O30+O31+O32</f>
        <v>498626340.44</v>
      </c>
      <c r="P27" s="124">
        <f t="shared" si="3"/>
        <v>5.3768334239936477</v>
      </c>
      <c r="Q27" s="124">
        <f t="shared" si="7"/>
        <v>107.64295187148412</v>
      </c>
      <c r="R27" s="124">
        <f t="shared" si="8"/>
        <v>35403870.439999998</v>
      </c>
      <c r="S27" s="124">
        <f t="shared" si="9"/>
        <v>103348426.29999995</v>
      </c>
    </row>
    <row r="28" spans="1:19" s="111" customFormat="1" ht="90" x14ac:dyDescent="0.2">
      <c r="A28" s="113" t="s">
        <v>221</v>
      </c>
      <c r="B28" s="123">
        <v>2666900</v>
      </c>
      <c r="C28" s="123">
        <v>2541410</v>
      </c>
      <c r="D28" s="124">
        <f t="shared" si="14"/>
        <v>2.5390593010087444E-2</v>
      </c>
      <c r="E28" s="124">
        <f t="shared" si="13"/>
        <v>-125490</v>
      </c>
      <c r="F28" s="123">
        <v>2537106.29</v>
      </c>
      <c r="G28" s="124">
        <f t="shared" si="15"/>
        <v>2.5404990986795512E-2</v>
      </c>
      <c r="H28" s="124">
        <f t="shared" si="4"/>
        <v>99.830656604011153</v>
      </c>
      <c r="I28" s="123">
        <v>2599300</v>
      </c>
      <c r="J28" s="123">
        <v>3313400</v>
      </c>
      <c r="K28" s="123">
        <v>3313400</v>
      </c>
      <c r="L28" s="123">
        <f t="shared" si="5"/>
        <v>0</v>
      </c>
      <c r="M28" s="124">
        <f t="shared" si="16"/>
        <v>3.4912638771198386E-2</v>
      </c>
      <c r="N28" s="124">
        <f t="shared" si="6"/>
        <v>714100</v>
      </c>
      <c r="O28" s="123">
        <v>3313481</v>
      </c>
      <c r="P28" s="124">
        <f t="shared" si="3"/>
        <v>3.5730233133786302E-2</v>
      </c>
      <c r="Q28" s="124">
        <f t="shared" si="7"/>
        <v>100.00244461882055</v>
      </c>
      <c r="R28" s="124">
        <f t="shared" si="8"/>
        <v>81</v>
      </c>
      <c r="S28" s="124">
        <f t="shared" si="9"/>
        <v>776374.71</v>
      </c>
    </row>
    <row r="29" spans="1:19" s="111" customFormat="1" ht="135" x14ac:dyDescent="0.2">
      <c r="A29" s="113" t="s">
        <v>223</v>
      </c>
      <c r="B29" s="123">
        <v>327711568</v>
      </c>
      <c r="C29" s="123">
        <v>356777192</v>
      </c>
      <c r="D29" s="124">
        <f t="shared" si="14"/>
        <v>3.5644718787420469</v>
      </c>
      <c r="E29" s="124">
        <f t="shared" si="13"/>
        <v>29065624</v>
      </c>
      <c r="F29" s="123">
        <v>388684633.24000001</v>
      </c>
      <c r="G29" s="124">
        <f t="shared" si="15"/>
        <v>3.8920441146232463</v>
      </c>
      <c r="H29" s="124">
        <f t="shared" si="4"/>
        <v>108.9432401945694</v>
      </c>
      <c r="I29" s="123">
        <f>302430000+583700+18248+44956600</f>
        <v>347988548</v>
      </c>
      <c r="J29" s="123">
        <f>365000000+523700+61961+88283100</f>
        <v>453868761</v>
      </c>
      <c r="K29" s="123">
        <f>365000000+523700+61961+88283100</f>
        <v>453868761</v>
      </c>
      <c r="L29" s="123">
        <f t="shared" si="5"/>
        <v>0</v>
      </c>
      <c r="M29" s="124">
        <f t="shared" si="16"/>
        <v>4.7823251350046396</v>
      </c>
      <c r="N29" s="124">
        <f t="shared" si="6"/>
        <v>105880213</v>
      </c>
      <c r="O29" s="123">
        <f>58597.37+99989020.63+388808317.8+657289.43</f>
        <v>489513225.23000002</v>
      </c>
      <c r="P29" s="124">
        <f t="shared" si="3"/>
        <v>5.2785640417251649</v>
      </c>
      <c r="Q29" s="124">
        <f t="shared" si="7"/>
        <v>107.8534737996652</v>
      </c>
      <c r="R29" s="124">
        <f t="shared" si="8"/>
        <v>35644464.230000019</v>
      </c>
      <c r="S29" s="124">
        <f t="shared" si="9"/>
        <v>100828591.99000001</v>
      </c>
    </row>
    <row r="30" spans="1:19" s="111" customFormat="1" ht="45" x14ac:dyDescent="0.2">
      <c r="A30" s="115" t="s">
        <v>164</v>
      </c>
      <c r="B30" s="123">
        <v>770000</v>
      </c>
      <c r="C30" s="123">
        <v>100500</v>
      </c>
      <c r="D30" s="124">
        <f t="shared" si="14"/>
        <v>1.0040704166245462E-3</v>
      </c>
      <c r="E30" s="124">
        <f t="shared" si="13"/>
        <v>-669500</v>
      </c>
      <c r="F30" s="123">
        <v>100500</v>
      </c>
      <c r="G30" s="124">
        <f t="shared" si="15"/>
        <v>1.0063439613217581E-3</v>
      </c>
      <c r="H30" s="124">
        <f t="shared" si="4"/>
        <v>100</v>
      </c>
      <c r="I30" s="123">
        <v>402750</v>
      </c>
      <c r="J30" s="123">
        <v>25250</v>
      </c>
      <c r="K30" s="123">
        <v>25250</v>
      </c>
      <c r="L30" s="123">
        <f t="shared" si="5"/>
        <v>0</v>
      </c>
      <c r="M30" s="124">
        <f t="shared" si="16"/>
        <v>2.6605424306535858E-4</v>
      </c>
      <c r="N30" s="124">
        <f t="shared" si="6"/>
        <v>-377500</v>
      </c>
      <c r="O30" s="123">
        <v>25250</v>
      </c>
      <c r="P30" s="124">
        <f t="shared" si="3"/>
        <v>2.722781228044175E-4</v>
      </c>
      <c r="Q30" s="124">
        <f t="shared" si="7"/>
        <v>100</v>
      </c>
      <c r="R30" s="124">
        <f t="shared" si="8"/>
        <v>0</v>
      </c>
      <c r="S30" s="124">
        <f t="shared" si="9"/>
        <v>-75250</v>
      </c>
    </row>
    <row r="31" spans="1:19" s="111" customFormat="1" ht="135" x14ac:dyDescent="0.2">
      <c r="A31" s="113" t="s">
        <v>188</v>
      </c>
      <c r="B31" s="123">
        <v>3000000</v>
      </c>
      <c r="C31" s="123">
        <v>3400000</v>
      </c>
      <c r="D31" s="124">
        <f t="shared" si="14"/>
        <v>3.3968551408193604E-2</v>
      </c>
      <c r="E31" s="124">
        <f t="shared" si="13"/>
        <v>400000</v>
      </c>
      <c r="F31" s="123">
        <v>3955674.61</v>
      </c>
      <c r="G31" s="124">
        <f t="shared" si="15"/>
        <v>3.9609644345545279E-2</v>
      </c>
      <c r="H31" s="124">
        <f t="shared" si="4"/>
        <v>116.34337088235294</v>
      </c>
      <c r="I31" s="123">
        <v>3000000</v>
      </c>
      <c r="J31" s="123">
        <v>5855800</v>
      </c>
      <c r="K31" s="123">
        <v>5855800</v>
      </c>
      <c r="L31" s="123">
        <f t="shared" si="5"/>
        <v>0</v>
      </c>
      <c r="M31" s="124">
        <f t="shared" si="16"/>
        <v>6.1701403427410963E-2</v>
      </c>
      <c r="N31" s="124">
        <f t="shared" si="6"/>
        <v>2855800</v>
      </c>
      <c r="O31" s="123">
        <v>5774384.21</v>
      </c>
      <c r="P31" s="124">
        <f t="shared" si="3"/>
        <v>6.226687101189185E-2</v>
      </c>
      <c r="Q31" s="124">
        <f t="shared" si="7"/>
        <v>98.609655555176062</v>
      </c>
      <c r="R31" s="124">
        <f t="shared" si="8"/>
        <v>-81415.790000000037</v>
      </c>
      <c r="S31" s="124">
        <f t="shared" si="9"/>
        <v>1818709.6</v>
      </c>
    </row>
    <row r="32" spans="1:19" s="111" customFormat="1" ht="165" x14ac:dyDescent="0.2">
      <c r="A32" s="113" t="s">
        <v>217</v>
      </c>
      <c r="B32" s="123">
        <v>0</v>
      </c>
      <c r="C32" s="123">
        <v>0</v>
      </c>
      <c r="D32" s="124">
        <f t="shared" si="14"/>
        <v>0</v>
      </c>
      <c r="E32" s="124">
        <f t="shared" si="13"/>
        <v>0</v>
      </c>
      <c r="F32" s="123">
        <v>0</v>
      </c>
      <c r="G32" s="124">
        <f t="shared" si="15"/>
        <v>0</v>
      </c>
      <c r="H32" s="124">
        <v>0</v>
      </c>
      <c r="I32" s="123">
        <v>0</v>
      </c>
      <c r="J32" s="123">
        <v>159259</v>
      </c>
      <c r="K32" s="123">
        <v>159259</v>
      </c>
      <c r="L32" s="123">
        <f t="shared" si="5"/>
        <v>0</v>
      </c>
      <c r="M32" s="124">
        <f t="shared" si="16"/>
        <v>1.6780805028255821E-3</v>
      </c>
      <c r="N32" s="124">
        <f t="shared" si="6"/>
        <v>159259</v>
      </c>
      <c r="O32" s="123">
        <v>0</v>
      </c>
      <c r="P32" s="124">
        <f t="shared" si="3"/>
        <v>0</v>
      </c>
      <c r="Q32" s="124">
        <f t="shared" si="7"/>
        <v>0</v>
      </c>
      <c r="R32" s="124">
        <f t="shared" si="8"/>
        <v>-159259</v>
      </c>
      <c r="S32" s="124">
        <f t="shared" si="9"/>
        <v>0</v>
      </c>
    </row>
    <row r="33" spans="1:19" s="111" customFormat="1" ht="30" x14ac:dyDescent="0.2">
      <c r="A33" s="113" t="s">
        <v>26</v>
      </c>
      <c r="B33" s="123">
        <f>B34</f>
        <v>13821206</v>
      </c>
      <c r="C33" s="123">
        <f>C34</f>
        <v>13821206</v>
      </c>
      <c r="D33" s="124">
        <f t="shared" ref="D33:D42" si="17">C33/C$82*100</f>
        <v>0.1380842195688923</v>
      </c>
      <c r="E33" s="124">
        <f t="shared" si="13"/>
        <v>0</v>
      </c>
      <c r="F33" s="123">
        <f>F34</f>
        <v>14531145.5</v>
      </c>
      <c r="G33" s="124">
        <f t="shared" ref="G33:G45" si="18">F33/F$82*100</f>
        <v>0.14550577636828696</v>
      </c>
      <c r="H33" s="124">
        <f t="shared" si="4"/>
        <v>105.13659589474319</v>
      </c>
      <c r="I33" s="123">
        <f>I34</f>
        <v>4835649</v>
      </c>
      <c r="J33" s="123">
        <f>J34</f>
        <v>22022000</v>
      </c>
      <c r="K33" s="123">
        <f>K34</f>
        <v>22022000</v>
      </c>
      <c r="L33" s="123">
        <f t="shared" si="5"/>
        <v>0</v>
      </c>
      <c r="M33" s="124">
        <f t="shared" si="16"/>
        <v>0.23204144715981492</v>
      </c>
      <c r="N33" s="124">
        <f t="shared" si="6"/>
        <v>17186351</v>
      </c>
      <c r="O33" s="123">
        <f>O34</f>
        <v>22214869.300000001</v>
      </c>
      <c r="P33" s="124">
        <f t="shared" si="3"/>
        <v>0.2395494222316627</v>
      </c>
      <c r="Q33" s="124">
        <f t="shared" si="7"/>
        <v>100.8758028335301</v>
      </c>
      <c r="R33" s="124">
        <f t="shared" si="8"/>
        <v>192869.30000000075</v>
      </c>
      <c r="S33" s="124">
        <f t="shared" si="9"/>
        <v>7683723.8000000007</v>
      </c>
    </row>
    <row r="34" spans="1:19" s="111" customFormat="1" ht="30" x14ac:dyDescent="0.2">
      <c r="A34" s="113" t="s">
        <v>27</v>
      </c>
      <c r="B34" s="123">
        <v>13821206</v>
      </c>
      <c r="C34" s="123">
        <v>13821206</v>
      </c>
      <c r="D34" s="124">
        <f t="shared" si="17"/>
        <v>0.1380842195688923</v>
      </c>
      <c r="E34" s="124">
        <f t="shared" si="13"/>
        <v>0</v>
      </c>
      <c r="F34" s="123">
        <v>14531145.5</v>
      </c>
      <c r="G34" s="124">
        <f t="shared" si="18"/>
        <v>0.14550577636828696</v>
      </c>
      <c r="H34" s="124">
        <f t="shared" si="4"/>
        <v>105.13659589474319</v>
      </c>
      <c r="I34" s="123">
        <v>4835649</v>
      </c>
      <c r="J34" s="123">
        <v>22022000</v>
      </c>
      <c r="K34" s="123">
        <v>22022000</v>
      </c>
      <c r="L34" s="123">
        <f t="shared" si="5"/>
        <v>0</v>
      </c>
      <c r="M34" s="124">
        <f t="shared" si="16"/>
        <v>0.23204144715981492</v>
      </c>
      <c r="N34" s="124">
        <f t="shared" si="6"/>
        <v>17186351</v>
      </c>
      <c r="O34" s="123">
        <v>22214869.300000001</v>
      </c>
      <c r="P34" s="124">
        <f t="shared" si="3"/>
        <v>0.2395494222316627</v>
      </c>
      <c r="Q34" s="124">
        <f t="shared" si="7"/>
        <v>100.8758028335301</v>
      </c>
      <c r="R34" s="124">
        <f t="shared" si="8"/>
        <v>192869.30000000075</v>
      </c>
      <c r="S34" s="124">
        <f t="shared" si="9"/>
        <v>7683723.8000000007</v>
      </c>
    </row>
    <row r="35" spans="1:19" s="111" customFormat="1" ht="45" x14ac:dyDescent="0.2">
      <c r="A35" s="113" t="s">
        <v>162</v>
      </c>
      <c r="B35" s="123">
        <f>B36+B37</f>
        <v>8464700</v>
      </c>
      <c r="C35" s="123">
        <f>C36+C37</f>
        <v>12986750</v>
      </c>
      <c r="D35" s="124">
        <f t="shared" si="17"/>
        <v>0.12974737794128186</v>
      </c>
      <c r="E35" s="124">
        <f t="shared" si="13"/>
        <v>4522050</v>
      </c>
      <c r="F35" s="123">
        <f>F36+F37</f>
        <v>14459331.189999999</v>
      </c>
      <c r="G35" s="124">
        <f t="shared" si="18"/>
        <v>0.14478667291351094</v>
      </c>
      <c r="H35" s="124">
        <f>F35/C35*100</f>
        <v>111.33910477987179</v>
      </c>
      <c r="I35" s="123">
        <f>I36+I37</f>
        <v>8778840</v>
      </c>
      <c r="J35" s="123">
        <f>J36+J37</f>
        <v>142322028</v>
      </c>
      <c r="K35" s="123">
        <f>K36+K37</f>
        <v>142322028</v>
      </c>
      <c r="L35" s="123">
        <f t="shared" si="5"/>
        <v>0</v>
      </c>
      <c r="M35" s="124">
        <f t="shared" si="16"/>
        <v>1.4996189873689811</v>
      </c>
      <c r="N35" s="124">
        <f t="shared" si="6"/>
        <v>133543188</v>
      </c>
      <c r="O35" s="123">
        <f>O36+O37</f>
        <v>142301526.93000001</v>
      </c>
      <c r="P35" s="124">
        <f t="shared" si="3"/>
        <v>1.5344789158298084</v>
      </c>
      <c r="Q35" s="124">
        <f t="shared" si="7"/>
        <v>99.985595293793878</v>
      </c>
      <c r="R35" s="124">
        <f t="shared" si="8"/>
        <v>-20501.069999992847</v>
      </c>
      <c r="S35" s="124">
        <f t="shared" si="9"/>
        <v>127842195.74000001</v>
      </c>
    </row>
    <row r="36" spans="1:19" s="111" customFormat="1" ht="30" x14ac:dyDescent="0.2">
      <c r="A36" s="113" t="s">
        <v>166</v>
      </c>
      <c r="B36" s="123">
        <v>5624900</v>
      </c>
      <c r="C36" s="123">
        <v>6467300</v>
      </c>
      <c r="D36" s="124">
        <f t="shared" si="17"/>
        <v>6.4613180153591326E-2</v>
      </c>
      <c r="E36" s="124">
        <f t="shared" si="13"/>
        <v>842400</v>
      </c>
      <c r="F36" s="123">
        <v>6908731.0099999998</v>
      </c>
      <c r="G36" s="124">
        <f t="shared" si="18"/>
        <v>6.9179698828953931E-2</v>
      </c>
      <c r="H36" s="124">
        <f t="shared" si="4"/>
        <v>106.82558424690365</v>
      </c>
      <c r="I36" s="123">
        <v>5624900</v>
      </c>
      <c r="J36" s="123">
        <v>5967000</v>
      </c>
      <c r="K36" s="123">
        <v>5967000</v>
      </c>
      <c r="L36" s="123">
        <f t="shared" si="5"/>
        <v>0</v>
      </c>
      <c r="M36" s="124">
        <f t="shared" si="16"/>
        <v>6.2873095777069093E-2</v>
      </c>
      <c r="N36" s="124">
        <f t="shared" si="6"/>
        <v>342100</v>
      </c>
      <c r="O36" s="123">
        <f>118500+5506450.17</f>
        <v>5624950.1699999999</v>
      </c>
      <c r="P36" s="124">
        <f t="shared" si="3"/>
        <v>6.0655480124989662E-2</v>
      </c>
      <c r="Q36" s="124">
        <f t="shared" si="7"/>
        <v>94.26764152840623</v>
      </c>
      <c r="R36" s="124">
        <f t="shared" si="8"/>
        <v>-342049.83000000007</v>
      </c>
      <c r="S36" s="124">
        <f t="shared" si="9"/>
        <v>-1283780.8399999999</v>
      </c>
    </row>
    <row r="37" spans="1:19" s="111" customFormat="1" ht="30" x14ac:dyDescent="0.25">
      <c r="A37" s="116" t="s">
        <v>167</v>
      </c>
      <c r="B37" s="123">
        <v>2839800</v>
      </c>
      <c r="C37" s="123">
        <v>6519450</v>
      </c>
      <c r="D37" s="124">
        <f t="shared" si="17"/>
        <v>6.5134197787690529E-2</v>
      </c>
      <c r="E37" s="124">
        <f t="shared" si="13"/>
        <v>3679650</v>
      </c>
      <c r="F37" s="123">
        <v>7550600.1799999997</v>
      </c>
      <c r="G37" s="124">
        <f t="shared" si="18"/>
        <v>7.5606974084557008E-2</v>
      </c>
      <c r="H37" s="124">
        <f t="shared" si="4"/>
        <v>115.81652102554662</v>
      </c>
      <c r="I37" s="123">
        <v>3153940</v>
      </c>
      <c r="J37" s="123">
        <v>136355028</v>
      </c>
      <c r="K37" s="123">
        <v>136355028</v>
      </c>
      <c r="L37" s="123">
        <f t="shared" si="5"/>
        <v>0</v>
      </c>
      <c r="M37" s="124">
        <f t="shared" si="16"/>
        <v>1.436745891591912</v>
      </c>
      <c r="N37" s="124">
        <f t="shared" si="6"/>
        <v>133201088</v>
      </c>
      <c r="O37" s="123">
        <f>650990.61+724695.81+567455.89+129706326.52+478027.04+78200.82+428594.17+1720890.29+2321395.61</f>
        <v>136676576.76000002</v>
      </c>
      <c r="P37" s="124">
        <f t="shared" si="3"/>
        <v>1.473823435704819</v>
      </c>
      <c r="Q37" s="124">
        <f t="shared" si="7"/>
        <v>100.23581731067522</v>
      </c>
      <c r="R37" s="124">
        <f t="shared" si="8"/>
        <v>321548.76000002027</v>
      </c>
      <c r="S37" s="124">
        <f t="shared" si="9"/>
        <v>129125976.58000001</v>
      </c>
    </row>
    <row r="38" spans="1:19" ht="30" x14ac:dyDescent="0.2">
      <c r="A38" s="121" t="s">
        <v>28</v>
      </c>
      <c r="B38" s="123">
        <f>B39+B40+B41</f>
        <v>20882100</v>
      </c>
      <c r="C38" s="123">
        <f>C39+C40+C41</f>
        <v>28953050</v>
      </c>
      <c r="D38" s="124">
        <f t="shared" si="17"/>
        <v>0.2892626962791176</v>
      </c>
      <c r="E38" s="124">
        <f t="shared" si="13"/>
        <v>8070950</v>
      </c>
      <c r="F38" s="123">
        <f>F39+F40+F41</f>
        <v>38763464.100000001</v>
      </c>
      <c r="G38" s="124">
        <f t="shared" si="18"/>
        <v>0.38815301509400751</v>
      </c>
      <c r="H38" s="124">
        <f t="shared" si="4"/>
        <v>133.88387095660045</v>
      </c>
      <c r="I38" s="123">
        <f>I39+I40+I41</f>
        <v>24658500</v>
      </c>
      <c r="J38" s="123">
        <f>J39+J40+J41</f>
        <v>73593345</v>
      </c>
      <c r="K38" s="123">
        <f>K39+K40+K41</f>
        <v>73593345</v>
      </c>
      <c r="L38" s="123">
        <f t="shared" si="5"/>
        <v>0</v>
      </c>
      <c r="M38" s="124">
        <f t="shared" si="16"/>
        <v>0.77543848311377395</v>
      </c>
      <c r="N38" s="124">
        <f t="shared" si="6"/>
        <v>48934845</v>
      </c>
      <c r="O38" s="123">
        <f>O39+O40+O41</f>
        <v>83968946.770000011</v>
      </c>
      <c r="P38" s="124">
        <f t="shared" si="3"/>
        <v>0.90546167130295674</v>
      </c>
      <c r="Q38" s="124">
        <f t="shared" si="7"/>
        <v>114.09855982222308</v>
      </c>
      <c r="R38" s="124">
        <f t="shared" si="8"/>
        <v>10375601.770000011</v>
      </c>
      <c r="S38" s="124">
        <f t="shared" si="9"/>
        <v>45205482.670000009</v>
      </c>
    </row>
    <row r="39" spans="1:19" s="111" customFormat="1" x14ac:dyDescent="0.25">
      <c r="A39" s="116" t="s">
        <v>169</v>
      </c>
      <c r="B39" s="123">
        <v>11065100</v>
      </c>
      <c r="C39" s="123">
        <v>20843377</v>
      </c>
      <c r="D39" s="124">
        <f t="shared" si="17"/>
        <v>0.20824097739554712</v>
      </c>
      <c r="E39" s="124">
        <f t="shared" si="13"/>
        <v>9778277</v>
      </c>
      <c r="F39" s="123">
        <v>28136804.48</v>
      </c>
      <c r="G39" s="124">
        <f t="shared" si="18"/>
        <v>0.28174431123720384</v>
      </c>
      <c r="H39" s="124">
        <f t="shared" si="4"/>
        <v>134.99158260199391</v>
      </c>
      <c r="I39" s="123">
        <v>15258700</v>
      </c>
      <c r="J39" s="123">
        <v>42445613</v>
      </c>
      <c r="K39" s="123">
        <v>42445613</v>
      </c>
      <c r="L39" s="123">
        <f t="shared" si="5"/>
        <v>0</v>
      </c>
      <c r="M39" s="124">
        <f t="shared" si="16"/>
        <v>0.44724100745188688</v>
      </c>
      <c r="N39" s="124">
        <f t="shared" si="6"/>
        <v>27186913</v>
      </c>
      <c r="O39" s="123">
        <v>45413628.710000001</v>
      </c>
      <c r="P39" s="124">
        <f t="shared" si="3"/>
        <v>0.48970841880774652</v>
      </c>
      <c r="Q39" s="124">
        <f t="shared" si="7"/>
        <v>106.99251465634387</v>
      </c>
      <c r="R39" s="124">
        <f t="shared" si="8"/>
        <v>2968015.7100000009</v>
      </c>
      <c r="S39" s="124">
        <f t="shared" si="9"/>
        <v>17276824.23</v>
      </c>
    </row>
    <row r="40" spans="1:19" s="111" customFormat="1" ht="135" x14ac:dyDescent="0.2">
      <c r="A40" s="117" t="s">
        <v>189</v>
      </c>
      <c r="B40" s="123">
        <v>2317000</v>
      </c>
      <c r="C40" s="123">
        <v>5488706</v>
      </c>
      <c r="D40" s="124">
        <f t="shared" si="17"/>
        <v>5.4836291742782546E-2</v>
      </c>
      <c r="E40" s="124">
        <f t="shared" si="13"/>
        <v>3171706</v>
      </c>
      <c r="F40" s="123">
        <v>6298673.3099999996</v>
      </c>
      <c r="G40" s="124">
        <f t="shared" si="18"/>
        <v>6.3070963680169456E-2</v>
      </c>
      <c r="H40" s="124">
        <f t="shared" si="4"/>
        <v>114.75698115366353</v>
      </c>
      <c r="I40" s="123">
        <v>1899800</v>
      </c>
      <c r="J40" s="123">
        <v>9530532</v>
      </c>
      <c r="K40" s="123">
        <v>9530532</v>
      </c>
      <c r="L40" s="123">
        <f t="shared" si="5"/>
        <v>0</v>
      </c>
      <c r="M40" s="124">
        <f t="shared" si="16"/>
        <v>0.1004213258324823</v>
      </c>
      <c r="N40" s="124">
        <f t="shared" si="6"/>
        <v>7630732</v>
      </c>
      <c r="O40" s="123">
        <f>9096076.8+141350+38382</f>
        <v>9275808.8000000007</v>
      </c>
      <c r="P40" s="124">
        <f t="shared" si="3"/>
        <v>0.10002375475472065</v>
      </c>
      <c r="Q40" s="124">
        <f t="shared" si="7"/>
        <v>97.327292956993389</v>
      </c>
      <c r="R40" s="124">
        <f t="shared" si="8"/>
        <v>-254723.19999999925</v>
      </c>
      <c r="S40" s="124">
        <f t="shared" si="9"/>
        <v>2977135.4900000012</v>
      </c>
    </row>
    <row r="41" spans="1:19" s="111" customFormat="1" ht="60" x14ac:dyDescent="0.2">
      <c r="A41" s="115" t="s">
        <v>179</v>
      </c>
      <c r="B41" s="123">
        <v>7500000</v>
      </c>
      <c r="C41" s="123">
        <v>2620967</v>
      </c>
      <c r="D41" s="124">
        <f t="shared" si="17"/>
        <v>2.6185427140787931E-2</v>
      </c>
      <c r="E41" s="124">
        <f t="shared" si="13"/>
        <v>-4879033</v>
      </c>
      <c r="F41" s="123">
        <v>4327986.3099999996</v>
      </c>
      <c r="G41" s="124">
        <f t="shared" si="18"/>
        <v>4.3337740176634207E-2</v>
      </c>
      <c r="H41" s="124">
        <f t="shared" si="4"/>
        <v>165.12937057200642</v>
      </c>
      <c r="I41" s="123">
        <v>7500000</v>
      </c>
      <c r="J41" s="123">
        <v>21617200</v>
      </c>
      <c r="K41" s="123">
        <v>21617200</v>
      </c>
      <c r="L41" s="123">
        <f t="shared" si="5"/>
        <v>0</v>
      </c>
      <c r="M41" s="124">
        <f t="shared" si="16"/>
        <v>0.22777614982940475</v>
      </c>
      <c r="N41" s="124">
        <f t="shared" si="6"/>
        <v>14117200</v>
      </c>
      <c r="O41" s="123">
        <v>29279509.260000002</v>
      </c>
      <c r="P41" s="124">
        <f t="shared" si="3"/>
        <v>0.31572949774048947</v>
      </c>
      <c r="Q41" s="124">
        <f t="shared" si="7"/>
        <v>135.44542891771368</v>
      </c>
      <c r="R41" s="124">
        <f t="shared" si="8"/>
        <v>7662309.2600000016</v>
      </c>
      <c r="S41" s="124">
        <f t="shared" si="9"/>
        <v>24951522.950000003</v>
      </c>
    </row>
    <row r="42" spans="1:19" s="111" customFormat="1" ht="30" x14ac:dyDescent="0.2">
      <c r="A42" s="113" t="s">
        <v>30</v>
      </c>
      <c r="B42" s="123">
        <f>SUM(B43:B66)</f>
        <v>12014700</v>
      </c>
      <c r="C42" s="123">
        <f>SUM(C43:C66)</f>
        <v>21556179</v>
      </c>
      <c r="D42" s="124">
        <f t="shared" si="17"/>
        <v>0.21536240427227157</v>
      </c>
      <c r="E42" s="124">
        <f t="shared" si="13"/>
        <v>9541479</v>
      </c>
      <c r="F42" s="123">
        <f>SUM(F43:F66)</f>
        <v>24286442.349999994</v>
      </c>
      <c r="G42" s="124">
        <f t="shared" si="18"/>
        <v>0.24318920000906968</v>
      </c>
      <c r="H42" s="124">
        <f t="shared" si="4"/>
        <v>112.66580385141538</v>
      </c>
      <c r="I42" s="123">
        <f>SUM(I43:I66)</f>
        <v>14136450</v>
      </c>
      <c r="J42" s="123">
        <f>SUM(J43:J67)</f>
        <v>48196886</v>
      </c>
      <c r="K42" s="123">
        <f>SUM(K43:K67)</f>
        <v>48196886</v>
      </c>
      <c r="L42" s="123">
        <f t="shared" si="5"/>
        <v>0</v>
      </c>
      <c r="M42" s="124">
        <f t="shared" si="16"/>
        <v>0.50784103060742092</v>
      </c>
      <c r="N42" s="124">
        <f t="shared" si="6"/>
        <v>34060436</v>
      </c>
      <c r="O42" s="123">
        <f>SUM(O43:O67)</f>
        <v>51478069.470000006</v>
      </c>
      <c r="P42" s="124">
        <f t="shared" si="3"/>
        <v>0.55510305429255435</v>
      </c>
      <c r="Q42" s="124">
        <f t="shared" si="7"/>
        <v>106.80787441329717</v>
      </c>
      <c r="R42" s="124">
        <f t="shared" si="8"/>
        <v>3281183.4700000063</v>
      </c>
      <c r="S42" s="124">
        <f t="shared" si="9"/>
        <v>27191627.120000012</v>
      </c>
    </row>
    <row r="43" spans="1:19" s="111" customFormat="1" ht="135" x14ac:dyDescent="0.2">
      <c r="A43" s="114" t="s">
        <v>190</v>
      </c>
      <c r="B43" s="123">
        <v>0</v>
      </c>
      <c r="C43" s="123">
        <v>11880</v>
      </c>
      <c r="D43" s="124">
        <v>0</v>
      </c>
      <c r="E43" s="124">
        <f>C43-B43</f>
        <v>11880</v>
      </c>
      <c r="F43" s="123">
        <v>20300</v>
      </c>
      <c r="G43" s="124">
        <f t="shared" si="18"/>
        <v>2.0327146681424564E-4</v>
      </c>
      <c r="H43" s="124">
        <v>0</v>
      </c>
      <c r="I43" s="123">
        <v>43800</v>
      </c>
      <c r="J43" s="123">
        <v>74556</v>
      </c>
      <c r="K43" s="123">
        <v>74556</v>
      </c>
      <c r="L43" s="123">
        <f t="shared" si="5"/>
        <v>0</v>
      </c>
      <c r="M43" s="124">
        <f t="shared" si="16"/>
        <v>7.8558178795963866E-4</v>
      </c>
      <c r="N43" s="124">
        <f t="shared" si="6"/>
        <v>30756</v>
      </c>
      <c r="O43" s="123">
        <v>89460.74</v>
      </c>
      <c r="P43" s="124">
        <f t="shared" si="3"/>
        <v>9.6468128126313128E-4</v>
      </c>
      <c r="Q43" s="124">
        <f t="shared" si="7"/>
        <v>119.99133537206932</v>
      </c>
      <c r="R43" s="124">
        <f t="shared" si="8"/>
        <v>14904.740000000005</v>
      </c>
      <c r="S43" s="124">
        <f t="shared" si="9"/>
        <v>69160.740000000005</v>
      </c>
    </row>
    <row r="44" spans="1:19" s="111" customFormat="1" ht="180" x14ac:dyDescent="0.2">
      <c r="A44" s="114" t="s">
        <v>203</v>
      </c>
      <c r="B44" s="123">
        <v>0</v>
      </c>
      <c r="C44" s="123">
        <v>105040</v>
      </c>
      <c r="D44" s="124">
        <v>0</v>
      </c>
      <c r="E44" s="124">
        <f t="shared" ref="E44:E67" si="19">C44-B44</f>
        <v>105040</v>
      </c>
      <c r="F44" s="123">
        <v>111144.39</v>
      </c>
      <c r="G44" s="124">
        <f t="shared" si="18"/>
        <v>1.1129302060824916E-3</v>
      </c>
      <c r="H44" s="124">
        <v>0</v>
      </c>
      <c r="I44" s="123">
        <v>74500</v>
      </c>
      <c r="J44" s="123">
        <v>188004</v>
      </c>
      <c r="K44" s="123">
        <v>188004</v>
      </c>
      <c r="L44" s="123">
        <f t="shared" si="5"/>
        <v>0</v>
      </c>
      <c r="M44" s="124">
        <f t="shared" si="16"/>
        <v>1.9809608678518684E-3</v>
      </c>
      <c r="N44" s="124">
        <f t="shared" si="6"/>
        <v>113504</v>
      </c>
      <c r="O44" s="123">
        <v>209976.72</v>
      </c>
      <c r="P44" s="124">
        <f t="shared" si="3"/>
        <v>2.2642402833357935E-3</v>
      </c>
      <c r="Q44" s="124">
        <f t="shared" si="7"/>
        <v>111.68736835386481</v>
      </c>
      <c r="R44" s="124">
        <f t="shared" si="8"/>
        <v>21972.720000000001</v>
      </c>
      <c r="S44" s="124">
        <f t="shared" si="9"/>
        <v>98832.33</v>
      </c>
    </row>
    <row r="45" spans="1:19" s="111" customFormat="1" ht="135" x14ac:dyDescent="0.2">
      <c r="A45" s="114" t="s">
        <v>191</v>
      </c>
      <c r="B45" s="123">
        <v>0</v>
      </c>
      <c r="C45" s="123">
        <v>2160</v>
      </c>
      <c r="D45" s="124">
        <v>0</v>
      </c>
      <c r="E45" s="124">
        <f t="shared" si="19"/>
        <v>2160</v>
      </c>
      <c r="F45" s="123">
        <v>4800</v>
      </c>
      <c r="G45" s="124">
        <f t="shared" si="18"/>
        <v>4.8064189197457105E-5</v>
      </c>
      <c r="H45" s="124">
        <v>0</v>
      </c>
      <c r="I45" s="123">
        <v>12400</v>
      </c>
      <c r="J45" s="123">
        <v>6890</v>
      </c>
      <c r="K45" s="123">
        <v>6890</v>
      </c>
      <c r="L45" s="123">
        <f t="shared" si="5"/>
        <v>0</v>
      </c>
      <c r="M45" s="124">
        <f t="shared" si="16"/>
        <v>7.2598563751299832E-5</v>
      </c>
      <c r="N45" s="124">
        <f t="shared" si="6"/>
        <v>-5510</v>
      </c>
      <c r="O45" s="123">
        <v>6890</v>
      </c>
      <c r="P45" s="124">
        <f t="shared" si="3"/>
        <v>7.4296881826631147E-5</v>
      </c>
      <c r="Q45" s="124">
        <f t="shared" si="7"/>
        <v>100</v>
      </c>
      <c r="R45" s="124">
        <f t="shared" si="8"/>
        <v>0</v>
      </c>
      <c r="S45" s="124">
        <f t="shared" si="9"/>
        <v>2090</v>
      </c>
    </row>
    <row r="46" spans="1:19" s="111" customFormat="1" ht="180" x14ac:dyDescent="0.2">
      <c r="A46" s="114" t="s">
        <v>222</v>
      </c>
      <c r="B46" s="123"/>
      <c r="C46" s="123"/>
      <c r="D46" s="124"/>
      <c r="E46" s="124"/>
      <c r="F46" s="123"/>
      <c r="G46" s="124"/>
      <c r="H46" s="124"/>
      <c r="I46" s="123">
        <v>0</v>
      </c>
      <c r="J46" s="123"/>
      <c r="K46" s="123"/>
      <c r="L46" s="123">
        <f t="shared" si="5"/>
        <v>0</v>
      </c>
      <c r="M46" s="124">
        <f t="shared" si="16"/>
        <v>0</v>
      </c>
      <c r="N46" s="124">
        <f t="shared" si="6"/>
        <v>0</v>
      </c>
      <c r="O46" s="123">
        <f>2000+50000</f>
        <v>52000</v>
      </c>
      <c r="P46" s="124"/>
      <c r="Q46" s="124">
        <v>0</v>
      </c>
      <c r="R46" s="124">
        <f t="shared" si="8"/>
        <v>52000</v>
      </c>
      <c r="S46" s="124">
        <f t="shared" si="9"/>
        <v>52000</v>
      </c>
    </row>
    <row r="47" spans="1:19" s="111" customFormat="1" ht="180" x14ac:dyDescent="0.2">
      <c r="A47" s="114" t="s">
        <v>192</v>
      </c>
      <c r="B47" s="123">
        <v>0</v>
      </c>
      <c r="C47" s="123">
        <v>126500</v>
      </c>
      <c r="D47" s="124">
        <v>0</v>
      </c>
      <c r="E47" s="124">
        <f t="shared" si="19"/>
        <v>126500</v>
      </c>
      <c r="F47" s="123">
        <v>167000</v>
      </c>
      <c r="G47" s="124">
        <f t="shared" ref="G47:G65" si="20">F47/F$82*100</f>
        <v>1.6722332491615282E-3</v>
      </c>
      <c r="H47" s="124">
        <v>0</v>
      </c>
      <c r="I47" s="123">
        <v>0</v>
      </c>
      <c r="J47" s="123">
        <v>698500</v>
      </c>
      <c r="K47" s="123">
        <v>698500</v>
      </c>
      <c r="L47" s="123">
        <f t="shared" si="5"/>
        <v>0</v>
      </c>
      <c r="M47" s="124">
        <f t="shared" si="16"/>
        <v>7.3599559913327915E-3</v>
      </c>
      <c r="N47" s="124">
        <f t="shared" si="6"/>
        <v>698500</v>
      </c>
      <c r="O47" s="123">
        <v>726500</v>
      </c>
      <c r="P47" s="124">
        <f t="shared" ref="P47:P71" si="21">O47/O$82*100</f>
        <v>7.8340616323726454E-3</v>
      </c>
      <c r="Q47" s="124">
        <f t="shared" si="7"/>
        <v>104.00858983536151</v>
      </c>
      <c r="R47" s="124">
        <f t="shared" si="8"/>
        <v>28000</v>
      </c>
      <c r="S47" s="124">
        <f t="shared" si="9"/>
        <v>559500</v>
      </c>
    </row>
    <row r="48" spans="1:19" s="111" customFormat="1" ht="150" x14ac:dyDescent="0.2">
      <c r="A48" s="114" t="s">
        <v>204</v>
      </c>
      <c r="B48" s="123">
        <v>0</v>
      </c>
      <c r="C48" s="123">
        <v>2400</v>
      </c>
      <c r="D48" s="124">
        <v>0</v>
      </c>
      <c r="E48" s="124">
        <f t="shared" si="19"/>
        <v>2400</v>
      </c>
      <c r="F48" s="123">
        <v>4000</v>
      </c>
      <c r="G48" s="124">
        <f t="shared" si="20"/>
        <v>4.0053490997880914E-5</v>
      </c>
      <c r="H48" s="124">
        <v>0</v>
      </c>
      <c r="I48" s="123">
        <v>0</v>
      </c>
      <c r="J48" s="123">
        <v>306000</v>
      </c>
      <c r="K48" s="123">
        <v>306000</v>
      </c>
      <c r="L48" s="123">
        <f t="shared" si="5"/>
        <v>0</v>
      </c>
      <c r="M48" s="124">
        <f t="shared" si="16"/>
        <v>3.2242613219009794E-3</v>
      </c>
      <c r="N48" s="124">
        <f t="shared" si="6"/>
        <v>306000</v>
      </c>
      <c r="O48" s="123">
        <v>256000</v>
      </c>
      <c r="P48" s="124">
        <f t="shared" si="21"/>
        <v>2.7605227500170641E-3</v>
      </c>
      <c r="Q48" s="124">
        <f t="shared" si="7"/>
        <v>83.66013071895425</v>
      </c>
      <c r="R48" s="124">
        <f t="shared" si="8"/>
        <v>-50000</v>
      </c>
      <c r="S48" s="124">
        <f t="shared" si="9"/>
        <v>252000</v>
      </c>
    </row>
    <row r="49" spans="1:19" s="111" customFormat="1" ht="180" x14ac:dyDescent="0.2">
      <c r="A49" s="114" t="s">
        <v>193</v>
      </c>
      <c r="B49" s="123">
        <v>0</v>
      </c>
      <c r="C49" s="123">
        <v>1605100</v>
      </c>
      <c r="D49" s="124">
        <v>0</v>
      </c>
      <c r="E49" s="124">
        <f t="shared" si="19"/>
        <v>1605100</v>
      </c>
      <c r="F49" s="123">
        <v>1606700</v>
      </c>
      <c r="G49" s="124">
        <f t="shared" si="20"/>
        <v>1.608848599657382E-2</v>
      </c>
      <c r="H49" s="124">
        <v>0</v>
      </c>
      <c r="I49" s="123">
        <v>13150</v>
      </c>
      <c r="J49" s="123">
        <v>701800</v>
      </c>
      <c r="K49" s="123">
        <v>701800</v>
      </c>
      <c r="L49" s="123">
        <f t="shared" si="5"/>
        <v>0</v>
      </c>
      <c r="M49" s="124">
        <f t="shared" si="16"/>
        <v>7.3947274369611359E-3</v>
      </c>
      <c r="N49" s="124">
        <f t="shared" si="6"/>
        <v>688650</v>
      </c>
      <c r="O49" s="123">
        <f>3500+700000</f>
        <v>703500</v>
      </c>
      <c r="P49" s="124">
        <f t="shared" si="21"/>
        <v>7.5860459165507993E-3</v>
      </c>
      <c r="Q49" s="124">
        <f t="shared" si="7"/>
        <v>100.24223425477344</v>
      </c>
      <c r="R49" s="124">
        <f t="shared" si="8"/>
        <v>1700</v>
      </c>
      <c r="S49" s="124">
        <f t="shared" si="9"/>
        <v>-903200</v>
      </c>
    </row>
    <row r="50" spans="1:19" s="111" customFormat="1" ht="180" x14ac:dyDescent="0.2">
      <c r="A50" s="114" t="s">
        <v>194</v>
      </c>
      <c r="B50" s="123">
        <v>0</v>
      </c>
      <c r="C50" s="123">
        <v>19450</v>
      </c>
      <c r="D50" s="124">
        <v>0</v>
      </c>
      <c r="E50" s="124">
        <f t="shared" si="19"/>
        <v>19450</v>
      </c>
      <c r="F50" s="123">
        <v>19449.93</v>
      </c>
      <c r="G50" s="124">
        <f t="shared" si="20"/>
        <v>1.9475939904110349E-4</v>
      </c>
      <c r="H50" s="124">
        <v>0</v>
      </c>
      <c r="I50" s="123">
        <v>0</v>
      </c>
      <c r="J50" s="123">
        <v>0</v>
      </c>
      <c r="K50" s="123">
        <v>0</v>
      </c>
      <c r="L50" s="123">
        <f t="shared" si="5"/>
        <v>0</v>
      </c>
      <c r="M50" s="124">
        <f t="shared" si="16"/>
        <v>0</v>
      </c>
      <c r="N50" s="124">
        <f t="shared" si="6"/>
        <v>0</v>
      </c>
      <c r="O50" s="123">
        <v>0</v>
      </c>
      <c r="P50" s="124">
        <f t="shared" si="21"/>
        <v>0</v>
      </c>
      <c r="Q50" s="124">
        <v>0</v>
      </c>
      <c r="R50" s="124">
        <f t="shared" si="8"/>
        <v>0</v>
      </c>
      <c r="S50" s="124">
        <f t="shared" si="9"/>
        <v>-19449.93</v>
      </c>
    </row>
    <row r="51" spans="1:19" s="111" customFormat="1" ht="135" x14ac:dyDescent="0.2">
      <c r="A51" s="114" t="s">
        <v>205</v>
      </c>
      <c r="B51" s="123">
        <v>0</v>
      </c>
      <c r="C51" s="123">
        <v>60000</v>
      </c>
      <c r="D51" s="124">
        <v>0</v>
      </c>
      <c r="E51" s="124">
        <f t="shared" si="19"/>
        <v>60000</v>
      </c>
      <c r="F51" s="123">
        <v>50000</v>
      </c>
      <c r="G51" s="124">
        <f t="shared" si="20"/>
        <v>5.0066863747351149E-4</v>
      </c>
      <c r="H51" s="124">
        <v>0</v>
      </c>
      <c r="I51" s="123">
        <v>0</v>
      </c>
      <c r="J51" s="123">
        <v>6000</v>
      </c>
      <c r="K51" s="123">
        <v>6000</v>
      </c>
      <c r="L51" s="123">
        <f t="shared" si="5"/>
        <v>0</v>
      </c>
      <c r="M51" s="124">
        <f t="shared" si="16"/>
        <v>6.3220810233352532E-5</v>
      </c>
      <c r="N51" s="124">
        <f t="shared" si="6"/>
        <v>6000</v>
      </c>
      <c r="O51" s="123">
        <v>5000</v>
      </c>
      <c r="P51" s="124">
        <f t="shared" si="21"/>
        <v>5.3916459961270789E-5</v>
      </c>
      <c r="Q51" s="124">
        <f t="shared" si="7"/>
        <v>83.333333333333343</v>
      </c>
      <c r="R51" s="124">
        <f t="shared" si="8"/>
        <v>-1000</v>
      </c>
      <c r="S51" s="124">
        <f t="shared" si="9"/>
        <v>-45000</v>
      </c>
    </row>
    <row r="52" spans="1:19" s="111" customFormat="1" ht="195" x14ac:dyDescent="0.2">
      <c r="A52" s="114" t="s">
        <v>206</v>
      </c>
      <c r="B52" s="123">
        <v>0</v>
      </c>
      <c r="C52" s="123">
        <v>25000</v>
      </c>
      <c r="D52" s="124">
        <v>0</v>
      </c>
      <c r="E52" s="124">
        <f t="shared" si="19"/>
        <v>25000</v>
      </c>
      <c r="F52" s="123">
        <v>75000</v>
      </c>
      <c r="G52" s="124">
        <f t="shared" si="20"/>
        <v>7.5100295621026718E-4</v>
      </c>
      <c r="H52" s="124">
        <v>0</v>
      </c>
      <c r="I52" s="123">
        <v>0</v>
      </c>
      <c r="J52" s="123">
        <v>50000</v>
      </c>
      <c r="K52" s="123">
        <v>50000</v>
      </c>
      <c r="L52" s="123">
        <f t="shared" si="5"/>
        <v>0</v>
      </c>
      <c r="M52" s="124">
        <f t="shared" si="16"/>
        <v>5.2684008527793781E-4</v>
      </c>
      <c r="N52" s="124">
        <f t="shared" si="6"/>
        <v>50000</v>
      </c>
      <c r="O52" s="123">
        <v>50000</v>
      </c>
      <c r="P52" s="124">
        <f t="shared" si="21"/>
        <v>5.3916459961270786E-4</v>
      </c>
      <c r="Q52" s="124">
        <f t="shared" si="7"/>
        <v>100</v>
      </c>
      <c r="R52" s="124">
        <f t="shared" si="8"/>
        <v>0</v>
      </c>
      <c r="S52" s="124">
        <f t="shared" si="9"/>
        <v>-25000</v>
      </c>
    </row>
    <row r="53" spans="1:19" s="111" customFormat="1" ht="165" x14ac:dyDescent="0.2">
      <c r="A53" s="114" t="s">
        <v>195</v>
      </c>
      <c r="B53" s="123">
        <v>0</v>
      </c>
      <c r="C53" s="123">
        <v>359400</v>
      </c>
      <c r="D53" s="124">
        <v>0</v>
      </c>
      <c r="E53" s="124">
        <f t="shared" si="19"/>
        <v>359400</v>
      </c>
      <c r="F53" s="123">
        <v>482953.06</v>
      </c>
      <c r="G53" s="124">
        <f t="shared" si="20"/>
        <v>4.8359890102772606E-3</v>
      </c>
      <c r="H53" s="124">
        <v>0</v>
      </c>
      <c r="I53" s="123">
        <v>19000</v>
      </c>
      <c r="J53" s="123">
        <v>687718</v>
      </c>
      <c r="K53" s="123">
        <v>687718</v>
      </c>
      <c r="L53" s="123">
        <f t="shared" si="5"/>
        <v>0</v>
      </c>
      <c r="M53" s="124">
        <f t="shared" si="16"/>
        <v>7.2463481953434572E-3</v>
      </c>
      <c r="N53" s="124">
        <f t="shared" si="6"/>
        <v>668718</v>
      </c>
      <c r="O53" s="123">
        <v>758365.73</v>
      </c>
      <c r="P53" s="124">
        <f t="shared" si="21"/>
        <v>8.1776791035089776E-3</v>
      </c>
      <c r="Q53" s="124">
        <f t="shared" si="7"/>
        <v>110.27277605064867</v>
      </c>
      <c r="R53" s="124">
        <f t="shared" si="8"/>
        <v>70647.729999999981</v>
      </c>
      <c r="S53" s="124">
        <f t="shared" si="9"/>
        <v>275412.67</v>
      </c>
    </row>
    <row r="54" spans="1:19" s="111" customFormat="1" ht="195" x14ac:dyDescent="0.2">
      <c r="A54" s="114" t="s">
        <v>196</v>
      </c>
      <c r="B54" s="127">
        <v>100000</v>
      </c>
      <c r="C54" s="123">
        <v>156451</v>
      </c>
      <c r="D54" s="124">
        <v>0</v>
      </c>
      <c r="E54" s="124">
        <f t="shared" si="19"/>
        <v>56451</v>
      </c>
      <c r="F54" s="123">
        <v>162999</v>
      </c>
      <c r="G54" s="124">
        <f t="shared" si="20"/>
        <v>1.6321697447908977E-3</v>
      </c>
      <c r="H54" s="124">
        <v>0</v>
      </c>
      <c r="I54" s="127">
        <v>441000</v>
      </c>
      <c r="J54" s="123">
        <v>104247</v>
      </c>
      <c r="K54" s="123">
        <v>104247</v>
      </c>
      <c r="L54" s="123">
        <f t="shared" si="5"/>
        <v>0</v>
      </c>
      <c r="M54" s="124">
        <f t="shared" si="16"/>
        <v>1.0984299673993836E-3</v>
      </c>
      <c r="N54" s="124">
        <f t="shared" si="6"/>
        <v>-336753</v>
      </c>
      <c r="O54" s="123">
        <v>69683.81</v>
      </c>
      <c r="P54" s="124">
        <f t="shared" si="21"/>
        <v>7.5142087036276009E-4</v>
      </c>
      <c r="Q54" s="124">
        <f t="shared" si="7"/>
        <v>66.844906807869762</v>
      </c>
      <c r="R54" s="124">
        <f t="shared" si="8"/>
        <v>-34563.19</v>
      </c>
      <c r="S54" s="124">
        <f t="shared" si="9"/>
        <v>-93315.19</v>
      </c>
    </row>
    <row r="55" spans="1:19" s="111" customFormat="1" ht="195" x14ac:dyDescent="0.2">
      <c r="A55" s="114" t="s">
        <v>207</v>
      </c>
      <c r="B55" s="123">
        <v>0</v>
      </c>
      <c r="C55" s="123">
        <v>100000</v>
      </c>
      <c r="D55" s="124">
        <v>0</v>
      </c>
      <c r="E55" s="124">
        <f t="shared" si="19"/>
        <v>100000</v>
      </c>
      <c r="F55" s="123">
        <v>80000</v>
      </c>
      <c r="G55" s="124">
        <f t="shared" si="20"/>
        <v>8.0106981995761847E-4</v>
      </c>
      <c r="H55" s="124">
        <v>0</v>
      </c>
      <c r="I55" s="123">
        <v>80000</v>
      </c>
      <c r="J55" s="123">
        <v>80000</v>
      </c>
      <c r="K55" s="123">
        <v>80000</v>
      </c>
      <c r="L55" s="123">
        <f t="shared" si="5"/>
        <v>0</v>
      </c>
      <c r="M55" s="124">
        <f t="shared" si="16"/>
        <v>8.4294413644470047E-4</v>
      </c>
      <c r="N55" s="124">
        <f t="shared" si="6"/>
        <v>0</v>
      </c>
      <c r="O55" s="123">
        <v>70309.240000000005</v>
      </c>
      <c r="P55" s="124">
        <f t="shared" si="21"/>
        <v>7.5816506467347577E-4</v>
      </c>
      <c r="Q55" s="124">
        <f t="shared" si="7"/>
        <v>87.886550000000014</v>
      </c>
      <c r="R55" s="124">
        <f t="shared" si="8"/>
        <v>-9690.7599999999948</v>
      </c>
      <c r="S55" s="124">
        <f t="shared" si="9"/>
        <v>-9690.7599999999948</v>
      </c>
    </row>
    <row r="56" spans="1:19" s="111" customFormat="1" ht="150" x14ac:dyDescent="0.2">
      <c r="A56" s="114" t="s">
        <v>208</v>
      </c>
      <c r="B56" s="123">
        <v>0</v>
      </c>
      <c r="C56" s="123">
        <v>53000</v>
      </c>
      <c r="D56" s="124">
        <v>0</v>
      </c>
      <c r="E56" s="124">
        <f t="shared" si="19"/>
        <v>53000</v>
      </c>
      <c r="F56" s="123">
        <v>103000</v>
      </c>
      <c r="G56" s="124">
        <f t="shared" si="20"/>
        <v>1.0313773931954337E-3</v>
      </c>
      <c r="H56" s="124">
        <v>0</v>
      </c>
      <c r="I56" s="123">
        <v>200000</v>
      </c>
      <c r="J56" s="123">
        <v>53600</v>
      </c>
      <c r="K56" s="123">
        <v>53600</v>
      </c>
      <c r="L56" s="123">
        <f t="shared" si="5"/>
        <v>0</v>
      </c>
      <c r="M56" s="124">
        <f t="shared" si="16"/>
        <v>5.6477257141794926E-4</v>
      </c>
      <c r="N56" s="124">
        <f t="shared" si="6"/>
        <v>-146400</v>
      </c>
      <c r="O56" s="123">
        <f>50000+11000.02</f>
        <v>61000.020000000004</v>
      </c>
      <c r="P56" s="124">
        <f t="shared" si="21"/>
        <v>6.5778102719334347E-4</v>
      </c>
      <c r="Q56" s="124">
        <f t="shared" si="7"/>
        <v>113.80600746268657</v>
      </c>
      <c r="R56" s="124">
        <f t="shared" si="8"/>
        <v>7400.0200000000041</v>
      </c>
      <c r="S56" s="124">
        <f t="shared" si="9"/>
        <v>-41999.979999999996</v>
      </c>
    </row>
    <row r="57" spans="1:19" s="111" customFormat="1" ht="210" x14ac:dyDescent="0.2">
      <c r="A57" s="114" t="s">
        <v>197</v>
      </c>
      <c r="B57" s="123">
        <v>0</v>
      </c>
      <c r="C57" s="123">
        <v>21000</v>
      </c>
      <c r="D57" s="124">
        <v>0</v>
      </c>
      <c r="E57" s="124">
        <f t="shared" si="19"/>
        <v>21000</v>
      </c>
      <c r="F57" s="123">
        <v>17500</v>
      </c>
      <c r="G57" s="124">
        <f t="shared" si="20"/>
        <v>1.75234023115729E-4</v>
      </c>
      <c r="H57" s="124">
        <v>0</v>
      </c>
      <c r="I57" s="123">
        <v>700</v>
      </c>
      <c r="J57" s="123">
        <v>0</v>
      </c>
      <c r="K57" s="123">
        <v>0</v>
      </c>
      <c r="L57" s="123">
        <f t="shared" si="5"/>
        <v>0</v>
      </c>
      <c r="M57" s="124">
        <f t="shared" si="16"/>
        <v>0</v>
      </c>
      <c r="N57" s="124">
        <f t="shared" si="6"/>
        <v>-700</v>
      </c>
      <c r="O57" s="123">
        <v>0</v>
      </c>
      <c r="P57" s="124">
        <f t="shared" si="21"/>
        <v>0</v>
      </c>
      <c r="Q57" s="124">
        <v>0</v>
      </c>
      <c r="R57" s="124">
        <f t="shared" si="8"/>
        <v>0</v>
      </c>
      <c r="S57" s="124">
        <f t="shared" si="9"/>
        <v>-17500</v>
      </c>
    </row>
    <row r="58" spans="1:19" s="111" customFormat="1" ht="180" x14ac:dyDescent="0.2">
      <c r="A58" s="114" t="s">
        <v>209</v>
      </c>
      <c r="B58" s="123">
        <v>0</v>
      </c>
      <c r="C58" s="123">
        <v>7500</v>
      </c>
      <c r="D58" s="124">
        <v>0</v>
      </c>
      <c r="E58" s="124">
        <f t="shared" si="19"/>
        <v>7500</v>
      </c>
      <c r="F58" s="123">
        <v>13500</v>
      </c>
      <c r="G58" s="124">
        <f t="shared" si="20"/>
        <v>1.3518053211784809E-4</v>
      </c>
      <c r="H58" s="124">
        <v>0</v>
      </c>
      <c r="I58" s="123">
        <v>26500</v>
      </c>
      <c r="J58" s="123">
        <v>18500</v>
      </c>
      <c r="K58" s="123">
        <v>18500</v>
      </c>
      <c r="L58" s="123">
        <f t="shared" si="5"/>
        <v>0</v>
      </c>
      <c r="M58" s="124">
        <f t="shared" si="16"/>
        <v>1.9493083155283701E-4</v>
      </c>
      <c r="N58" s="124">
        <f t="shared" si="6"/>
        <v>-8000</v>
      </c>
      <c r="O58" s="123">
        <v>20500</v>
      </c>
      <c r="P58" s="124">
        <f t="shared" si="21"/>
        <v>2.2105748584121023E-4</v>
      </c>
      <c r="Q58" s="124">
        <f t="shared" si="7"/>
        <v>110.81081081081081</v>
      </c>
      <c r="R58" s="124">
        <f t="shared" si="8"/>
        <v>2000</v>
      </c>
      <c r="S58" s="124">
        <f t="shared" si="9"/>
        <v>7000</v>
      </c>
    </row>
    <row r="59" spans="1:19" s="111" customFormat="1" ht="135" x14ac:dyDescent="0.2">
      <c r="A59" s="114" t="s">
        <v>224</v>
      </c>
      <c r="B59" s="123">
        <v>0</v>
      </c>
      <c r="C59" s="123">
        <v>1253200</v>
      </c>
      <c r="D59" s="124">
        <v>0</v>
      </c>
      <c r="E59" s="124">
        <f t="shared" si="19"/>
        <v>1253200</v>
      </c>
      <c r="F59" s="123">
        <v>1110310.5900000001</v>
      </c>
      <c r="G59" s="124">
        <f t="shared" si="20"/>
        <v>1.1117953805354214E-2</v>
      </c>
      <c r="H59" s="124">
        <v>0</v>
      </c>
      <c r="I59" s="123">
        <v>401500</v>
      </c>
      <c r="J59" s="123">
        <v>2001677</v>
      </c>
      <c r="K59" s="123">
        <v>2001677</v>
      </c>
      <c r="L59" s="123">
        <f t="shared" si="5"/>
        <v>0</v>
      </c>
      <c r="M59" s="124">
        <f t="shared" si="16"/>
        <v>2.1091273627577737E-2</v>
      </c>
      <c r="N59" s="124">
        <f t="shared" si="6"/>
        <v>1600177</v>
      </c>
      <c r="O59" s="123">
        <f>3000+3368901.43</f>
        <v>3371901.43</v>
      </c>
      <c r="P59" s="124">
        <f t="shared" si="21"/>
        <v>3.6360197688789349E-2</v>
      </c>
      <c r="Q59" s="124">
        <f t="shared" si="7"/>
        <v>168.45382296944013</v>
      </c>
      <c r="R59" s="124">
        <f t="shared" si="8"/>
        <v>1370224.4300000002</v>
      </c>
      <c r="S59" s="124">
        <f t="shared" si="9"/>
        <v>2261590.84</v>
      </c>
    </row>
    <row r="60" spans="1:19" s="111" customFormat="1" ht="105" x14ac:dyDescent="0.2">
      <c r="A60" s="114" t="s">
        <v>198</v>
      </c>
      <c r="B60" s="123">
        <v>9000000</v>
      </c>
      <c r="C60" s="123">
        <v>4800000</v>
      </c>
      <c r="D60" s="124">
        <v>0</v>
      </c>
      <c r="E60" s="124">
        <f t="shared" si="19"/>
        <v>-4200000</v>
      </c>
      <c r="F60" s="123">
        <v>6120773.25</v>
      </c>
      <c r="G60" s="124">
        <f t="shared" si="20"/>
        <v>6.1289584067236336E-2</v>
      </c>
      <c r="H60" s="124">
        <v>0</v>
      </c>
      <c r="I60" s="123">
        <v>9000000</v>
      </c>
      <c r="J60" s="123">
        <v>12500000</v>
      </c>
      <c r="K60" s="123">
        <v>12500000</v>
      </c>
      <c r="L60" s="123">
        <f t="shared" si="5"/>
        <v>0</v>
      </c>
      <c r="M60" s="124">
        <f t="shared" si="16"/>
        <v>0.13171002131948445</v>
      </c>
      <c r="N60" s="124">
        <f t="shared" si="6"/>
        <v>3500000</v>
      </c>
      <c r="O60" s="123">
        <v>11625281.810000001</v>
      </c>
      <c r="P60" s="124">
        <f t="shared" si="21"/>
        <v>0.12535880824947093</v>
      </c>
      <c r="Q60" s="124">
        <f t="shared" si="7"/>
        <v>93.002254480000005</v>
      </c>
      <c r="R60" s="124">
        <f t="shared" si="8"/>
        <v>-874718.18999999948</v>
      </c>
      <c r="S60" s="124">
        <f t="shared" si="9"/>
        <v>5504508.5600000005</v>
      </c>
    </row>
    <row r="61" spans="1:19" s="111" customFormat="1" ht="165" x14ac:dyDescent="0.2">
      <c r="A61" s="114" t="s">
        <v>210</v>
      </c>
      <c r="B61" s="123">
        <v>0</v>
      </c>
      <c r="C61" s="123">
        <v>3750351</v>
      </c>
      <c r="D61" s="124">
        <v>0</v>
      </c>
      <c r="E61" s="124">
        <f t="shared" si="19"/>
        <v>3750351</v>
      </c>
      <c r="F61" s="123">
        <v>4493716.34</v>
      </c>
      <c r="G61" s="124">
        <f t="shared" si="20"/>
        <v>4.4997256742805095E-2</v>
      </c>
      <c r="H61" s="124">
        <v>0</v>
      </c>
      <c r="I61" s="123">
        <v>749700</v>
      </c>
      <c r="J61" s="123">
        <v>5667759</v>
      </c>
      <c r="K61" s="123">
        <v>5667759</v>
      </c>
      <c r="L61" s="123">
        <f t="shared" si="5"/>
        <v>0</v>
      </c>
      <c r="M61" s="124">
        <f t="shared" si="16"/>
        <v>5.9720052697895994E-2</v>
      </c>
      <c r="N61" s="124">
        <f t="shared" si="6"/>
        <v>4918059</v>
      </c>
      <c r="O61" s="123">
        <f>-50000+847000+4000+1000+4901604.44+50000</f>
        <v>5753604.4400000004</v>
      </c>
      <c r="P61" s="124">
        <f t="shared" si="21"/>
        <v>6.2042796684449973E-2</v>
      </c>
      <c r="Q61" s="124">
        <f t="shared" si="7"/>
        <v>101.51462756267513</v>
      </c>
      <c r="R61" s="124">
        <f t="shared" si="8"/>
        <v>85845.44000000041</v>
      </c>
      <c r="S61" s="124">
        <f t="shared" si="9"/>
        <v>1259888.1000000006</v>
      </c>
    </row>
    <row r="62" spans="1:19" s="111" customFormat="1" ht="105" x14ac:dyDescent="0.2">
      <c r="A62" s="114" t="s">
        <v>199</v>
      </c>
      <c r="B62" s="123">
        <v>400000</v>
      </c>
      <c r="C62" s="123">
        <v>290000</v>
      </c>
      <c r="D62" s="124">
        <v>0</v>
      </c>
      <c r="E62" s="124">
        <f t="shared" si="19"/>
        <v>-110000</v>
      </c>
      <c r="F62" s="123">
        <v>340338.33</v>
      </c>
      <c r="G62" s="124">
        <f t="shared" si="20"/>
        <v>3.4079345592222068E-3</v>
      </c>
      <c r="H62" s="124">
        <v>0</v>
      </c>
      <c r="I62" s="123">
        <v>494000</v>
      </c>
      <c r="J62" s="123">
        <v>307530</v>
      </c>
      <c r="K62" s="123">
        <v>307530</v>
      </c>
      <c r="L62" s="123">
        <f t="shared" si="5"/>
        <v>0</v>
      </c>
      <c r="M62" s="124">
        <f t="shared" si="16"/>
        <v>3.2403826285104845E-3</v>
      </c>
      <c r="N62" s="124">
        <f t="shared" si="6"/>
        <v>-186470</v>
      </c>
      <c r="O62" s="123">
        <f>8929.86+314419.85+500</f>
        <v>323849.70999999996</v>
      </c>
      <c r="P62" s="124">
        <f t="shared" si="21"/>
        <v>3.4921659845368307E-3</v>
      </c>
      <c r="Q62" s="124">
        <f t="shared" si="7"/>
        <v>105.30670503690696</v>
      </c>
      <c r="R62" s="124">
        <f t="shared" si="8"/>
        <v>16319.709999999963</v>
      </c>
      <c r="S62" s="124">
        <f t="shared" si="9"/>
        <v>-16488.620000000054</v>
      </c>
    </row>
    <row r="63" spans="1:19" s="111" customFormat="1" ht="120" x14ac:dyDescent="0.2">
      <c r="A63" s="114" t="s">
        <v>180</v>
      </c>
      <c r="B63" s="123">
        <v>974700</v>
      </c>
      <c r="C63" s="123">
        <v>2581826</v>
      </c>
      <c r="D63" s="124">
        <v>0</v>
      </c>
      <c r="E63" s="124">
        <f t="shared" si="19"/>
        <v>1607126</v>
      </c>
      <c r="F63" s="123">
        <v>3701957.53</v>
      </c>
      <c r="G63" s="124">
        <f t="shared" si="20"/>
        <v>3.7069080650598114E-2</v>
      </c>
      <c r="H63" s="124">
        <v>0</v>
      </c>
      <c r="I63" s="123">
        <v>1015700</v>
      </c>
      <c r="J63" s="123">
        <v>18957000</v>
      </c>
      <c r="K63" s="123">
        <v>18957000</v>
      </c>
      <c r="L63" s="123">
        <f t="shared" si="5"/>
        <v>0</v>
      </c>
      <c r="M63" s="124">
        <f t="shared" si="16"/>
        <v>0.19974614993227735</v>
      </c>
      <c r="N63" s="124">
        <f t="shared" si="6"/>
        <v>17941300</v>
      </c>
      <c r="O63" s="123">
        <f>19706040.66+1706701.34+13250</f>
        <v>21425992</v>
      </c>
      <c r="P63" s="124">
        <f t="shared" si="21"/>
        <v>0.23104272795970165</v>
      </c>
      <c r="Q63" s="124">
        <f t="shared" si="7"/>
        <v>113.02417049111146</v>
      </c>
      <c r="R63" s="124">
        <f t="shared" si="8"/>
        <v>2468992</v>
      </c>
      <c r="S63" s="124">
        <f t="shared" si="9"/>
        <v>17724034.469999999</v>
      </c>
    </row>
    <row r="64" spans="1:19" s="111" customFormat="1" ht="105" x14ac:dyDescent="0.2">
      <c r="A64" s="114" t="s">
        <v>211</v>
      </c>
      <c r="B64" s="123">
        <v>1540000</v>
      </c>
      <c r="C64" s="123">
        <v>2770240</v>
      </c>
      <c r="D64" s="124">
        <v>0</v>
      </c>
      <c r="E64" s="124">
        <f t="shared" si="19"/>
        <v>1230240</v>
      </c>
      <c r="F64" s="123">
        <v>1612405.92</v>
      </c>
      <c r="G64" s="124">
        <f t="shared" si="20"/>
        <v>1.6145621500412474E-2</v>
      </c>
      <c r="H64" s="124">
        <v>0</v>
      </c>
      <c r="I64" s="123">
        <v>1564500</v>
      </c>
      <c r="J64" s="123">
        <v>4656662</v>
      </c>
      <c r="K64" s="123">
        <v>4656662</v>
      </c>
      <c r="L64" s="123">
        <f t="shared" si="5"/>
        <v>0</v>
      </c>
      <c r="M64" s="124">
        <f t="shared" si="16"/>
        <v>4.9066324103810649E-2</v>
      </c>
      <c r="N64" s="124">
        <f t="shared" si="6"/>
        <v>3092162</v>
      </c>
      <c r="O64" s="123">
        <f>58807.01+72.61+1589371.94+1097.81+1660557.04+1945876.58</f>
        <v>5255782.99</v>
      </c>
      <c r="P64" s="124">
        <f t="shared" si="21"/>
        <v>5.6674642629092623E-2</v>
      </c>
      <c r="Q64" s="124">
        <f t="shared" si="7"/>
        <v>112.86588955779912</v>
      </c>
      <c r="R64" s="124">
        <f t="shared" si="8"/>
        <v>599120.99000000022</v>
      </c>
      <c r="S64" s="124">
        <f t="shared" si="9"/>
        <v>3643377.0700000003</v>
      </c>
    </row>
    <row r="65" spans="1:19" s="111" customFormat="1" ht="120" x14ac:dyDescent="0.2">
      <c r="A65" s="114" t="s">
        <v>220</v>
      </c>
      <c r="B65" s="123">
        <v>0</v>
      </c>
      <c r="C65" s="123">
        <v>0</v>
      </c>
      <c r="D65" s="124">
        <v>0</v>
      </c>
      <c r="E65" s="124">
        <f t="shared" si="19"/>
        <v>0</v>
      </c>
      <c r="F65" s="123">
        <v>0</v>
      </c>
      <c r="G65" s="124">
        <f t="shared" si="20"/>
        <v>0</v>
      </c>
      <c r="H65" s="124">
        <v>0</v>
      </c>
      <c r="I65" s="123">
        <v>0</v>
      </c>
      <c r="J65" s="123">
        <v>73550</v>
      </c>
      <c r="K65" s="123">
        <v>73550</v>
      </c>
      <c r="L65" s="123">
        <f t="shared" si="5"/>
        <v>0</v>
      </c>
      <c r="M65" s="124">
        <f t="shared" si="16"/>
        <v>7.7498176544384643E-4</v>
      </c>
      <c r="N65" s="124">
        <f t="shared" si="6"/>
        <v>73550</v>
      </c>
      <c r="O65" s="123">
        <v>73550</v>
      </c>
      <c r="P65" s="124">
        <f t="shared" si="21"/>
        <v>7.9311112603029329E-4</v>
      </c>
      <c r="Q65" s="124">
        <f t="shared" si="7"/>
        <v>100</v>
      </c>
      <c r="R65" s="124">
        <f t="shared" si="8"/>
        <v>0</v>
      </c>
      <c r="S65" s="124">
        <f t="shared" si="9"/>
        <v>73550</v>
      </c>
    </row>
    <row r="66" spans="1:19" s="111" customFormat="1" ht="120" x14ac:dyDescent="0.2">
      <c r="A66" s="114" t="s">
        <v>200</v>
      </c>
      <c r="B66" s="123">
        <v>0</v>
      </c>
      <c r="C66" s="123">
        <v>3455681</v>
      </c>
      <c r="D66" s="124">
        <v>0</v>
      </c>
      <c r="E66" s="124">
        <f t="shared" si="19"/>
        <v>3455681</v>
      </c>
      <c r="F66" s="123">
        <v>3988594.01</v>
      </c>
      <c r="G66" s="124">
        <f>F66/F$82*100</f>
        <v>3.9939278568434183E-2</v>
      </c>
      <c r="H66" s="124">
        <v>0</v>
      </c>
      <c r="I66" s="123">
        <v>0</v>
      </c>
      <c r="J66" s="123">
        <v>939931</v>
      </c>
      <c r="K66" s="123">
        <v>939931</v>
      </c>
      <c r="L66" s="123">
        <f t="shared" si="5"/>
        <v>0</v>
      </c>
      <c r="M66" s="124">
        <f t="shared" si="16"/>
        <v>9.9038665639075464E-3</v>
      </c>
      <c r="N66" s="124">
        <f t="shared" si="6"/>
        <v>939931</v>
      </c>
      <c r="O66" s="123">
        <v>431846.39</v>
      </c>
      <c r="P66" s="124">
        <f t="shared" si="21"/>
        <v>4.6567257191708665E-3</v>
      </c>
      <c r="Q66" s="124">
        <f t="shared" si="7"/>
        <v>45.944477839330759</v>
      </c>
      <c r="R66" s="124">
        <f t="shared" si="8"/>
        <v>-508084.61</v>
      </c>
      <c r="S66" s="124">
        <f t="shared" si="9"/>
        <v>-3556747.6199999996</v>
      </c>
    </row>
    <row r="67" spans="1:19" s="111" customFormat="1" ht="135" x14ac:dyDescent="0.2">
      <c r="A67" s="114" t="s">
        <v>218</v>
      </c>
      <c r="B67" s="123">
        <v>0</v>
      </c>
      <c r="C67" s="123">
        <v>0</v>
      </c>
      <c r="D67" s="124">
        <v>0</v>
      </c>
      <c r="E67" s="124">
        <f t="shared" si="19"/>
        <v>0</v>
      </c>
      <c r="F67" s="123">
        <v>0</v>
      </c>
      <c r="G67" s="124">
        <f>F67/F$82*100</f>
        <v>0</v>
      </c>
      <c r="H67" s="124">
        <v>0</v>
      </c>
      <c r="I67" s="123">
        <v>0</v>
      </c>
      <c r="J67" s="123">
        <v>116962</v>
      </c>
      <c r="K67" s="123">
        <v>116962</v>
      </c>
      <c r="L67" s="123">
        <f t="shared" si="5"/>
        <v>0</v>
      </c>
      <c r="M67" s="124">
        <f t="shared" si="16"/>
        <v>1.2324054010855632E-3</v>
      </c>
      <c r="N67" s="124">
        <f t="shared" si="6"/>
        <v>116962</v>
      </c>
      <c r="O67" s="123">
        <v>137074.44</v>
      </c>
      <c r="P67" s="124">
        <f t="shared" si="21"/>
        <v>1.478113711194723E-3</v>
      </c>
      <c r="Q67" s="124">
        <f t="shared" si="7"/>
        <v>117.19570458781486</v>
      </c>
      <c r="R67" s="124">
        <f t="shared" si="8"/>
        <v>20112.440000000002</v>
      </c>
      <c r="S67" s="124">
        <f t="shared" si="9"/>
        <v>137074.44</v>
      </c>
    </row>
    <row r="68" spans="1:19" s="111" customFormat="1" x14ac:dyDescent="0.2">
      <c r="A68" s="114" t="s">
        <v>39</v>
      </c>
      <c r="B68" s="123">
        <v>0</v>
      </c>
      <c r="C68" s="123">
        <f>C69</f>
        <v>0</v>
      </c>
      <c r="D68" s="124">
        <f>C68/C$82*100</f>
        <v>0</v>
      </c>
      <c r="E68" s="124">
        <f t="shared" si="13"/>
        <v>0</v>
      </c>
      <c r="F68" s="123">
        <f>F69+F70</f>
        <v>-513130.76999999996</v>
      </c>
      <c r="G68" s="124">
        <f>F68/F$82*100</f>
        <v>-5.1381696692326759E-3</v>
      </c>
      <c r="H68" s="124">
        <v>0</v>
      </c>
      <c r="I68" s="123">
        <v>0</v>
      </c>
      <c r="J68" s="123">
        <f>J69+J70+J71</f>
        <v>359855</v>
      </c>
      <c r="K68" s="123">
        <f>K69+K70+K71</f>
        <v>359855</v>
      </c>
      <c r="L68" s="123">
        <f t="shared" si="5"/>
        <v>0</v>
      </c>
      <c r="M68" s="124">
        <f t="shared" si="16"/>
        <v>3.7917207777538463E-3</v>
      </c>
      <c r="N68" s="124">
        <f t="shared" si="6"/>
        <v>359855</v>
      </c>
      <c r="O68" s="123">
        <f>O69+O70+O71</f>
        <v>806388.84</v>
      </c>
      <c r="P68" s="124">
        <f t="shared" si="21"/>
        <v>8.6955263210151176E-3</v>
      </c>
      <c r="Q68" s="124">
        <f t="shared" si="7"/>
        <v>224.08715732725679</v>
      </c>
      <c r="R68" s="124">
        <f t="shared" si="8"/>
        <v>446533.83999999997</v>
      </c>
      <c r="S68" s="124">
        <f t="shared" si="9"/>
        <v>1319519.6099999999</v>
      </c>
    </row>
    <row r="69" spans="1:19" s="111" customFormat="1" ht="45" x14ac:dyDescent="0.2">
      <c r="A69" s="114" t="s">
        <v>58</v>
      </c>
      <c r="B69" s="123">
        <v>0</v>
      </c>
      <c r="C69" s="123">
        <v>0</v>
      </c>
      <c r="D69" s="124">
        <f>C69/C$82*100</f>
        <v>0</v>
      </c>
      <c r="E69" s="124">
        <f t="shared" si="13"/>
        <v>0</v>
      </c>
      <c r="F69" s="123">
        <v>-966410.6</v>
      </c>
      <c r="G69" s="124">
        <f>F69/F$82*100</f>
        <v>-9.6770295668391747E-3</v>
      </c>
      <c r="H69" s="124">
        <v>0</v>
      </c>
      <c r="I69" s="123">
        <v>0</v>
      </c>
      <c r="J69" s="123">
        <v>0</v>
      </c>
      <c r="K69" s="123">
        <v>0</v>
      </c>
      <c r="L69" s="123">
        <f t="shared" si="5"/>
        <v>0</v>
      </c>
      <c r="M69" s="124">
        <f t="shared" si="16"/>
        <v>0</v>
      </c>
      <c r="N69" s="124">
        <f t="shared" si="6"/>
        <v>0</v>
      </c>
      <c r="O69" s="123">
        <v>102949.24</v>
      </c>
      <c r="P69" s="124">
        <f t="shared" si="21"/>
        <v>1.1101317153006515E-3</v>
      </c>
      <c r="Q69" s="124">
        <v>0</v>
      </c>
      <c r="R69" s="124">
        <f t="shared" si="8"/>
        <v>102949.24</v>
      </c>
      <c r="S69" s="124">
        <f t="shared" si="9"/>
        <v>1069359.8400000001</v>
      </c>
    </row>
    <row r="70" spans="1:19" s="111" customFormat="1" ht="30" x14ac:dyDescent="0.2">
      <c r="A70" s="114" t="s">
        <v>177</v>
      </c>
      <c r="B70" s="123">
        <v>0</v>
      </c>
      <c r="C70" s="123">
        <v>0</v>
      </c>
      <c r="D70" s="124">
        <v>0</v>
      </c>
      <c r="E70" s="124">
        <v>0</v>
      </c>
      <c r="F70" s="123">
        <v>453279.83</v>
      </c>
      <c r="G70" s="124">
        <v>0</v>
      </c>
      <c r="H70" s="124">
        <v>0</v>
      </c>
      <c r="I70" s="123">
        <v>0</v>
      </c>
      <c r="J70" s="123">
        <v>-322985</v>
      </c>
      <c r="K70" s="123">
        <v>-322985</v>
      </c>
      <c r="L70" s="123">
        <f t="shared" si="5"/>
        <v>0</v>
      </c>
      <c r="M70" s="124">
        <v>0</v>
      </c>
      <c r="N70" s="124">
        <f t="shared" si="6"/>
        <v>-322985</v>
      </c>
      <c r="O70" s="123">
        <v>703439.6</v>
      </c>
      <c r="P70" s="124">
        <f t="shared" si="21"/>
        <v>7.5853946057144669E-3</v>
      </c>
      <c r="Q70" s="124">
        <f t="shared" si="7"/>
        <v>-217.79327213338081</v>
      </c>
      <c r="R70" s="124">
        <f t="shared" si="8"/>
        <v>1026424.6</v>
      </c>
      <c r="S70" s="124">
        <f t="shared" si="9"/>
        <v>250159.76999999996</v>
      </c>
    </row>
    <row r="71" spans="1:19" s="111" customFormat="1" ht="30" x14ac:dyDescent="0.2">
      <c r="A71" s="114" t="s">
        <v>219</v>
      </c>
      <c r="B71" s="123">
        <v>0</v>
      </c>
      <c r="C71" s="123">
        <v>0</v>
      </c>
      <c r="D71" s="124">
        <v>0</v>
      </c>
      <c r="E71" s="124">
        <v>0</v>
      </c>
      <c r="F71" s="123">
        <v>0</v>
      </c>
      <c r="G71" s="124">
        <v>0</v>
      </c>
      <c r="H71" s="124">
        <v>0</v>
      </c>
      <c r="I71" s="123">
        <v>0</v>
      </c>
      <c r="J71" s="123">
        <v>682840</v>
      </c>
      <c r="K71" s="123">
        <v>682840</v>
      </c>
      <c r="L71" s="123">
        <f t="shared" si="5"/>
        <v>0</v>
      </c>
      <c r="M71" s="124">
        <v>0</v>
      </c>
      <c r="N71" s="124">
        <f t="shared" si="6"/>
        <v>682840</v>
      </c>
      <c r="O71" s="123">
        <v>0</v>
      </c>
      <c r="P71" s="124">
        <f t="shared" si="21"/>
        <v>0</v>
      </c>
      <c r="Q71" s="124">
        <f t="shared" si="7"/>
        <v>0</v>
      </c>
      <c r="R71" s="124">
        <f t="shared" si="8"/>
        <v>-682840</v>
      </c>
      <c r="S71" s="124">
        <f t="shared" si="9"/>
        <v>0</v>
      </c>
    </row>
    <row r="72" spans="1:19" s="80" customFormat="1" ht="28.5" x14ac:dyDescent="0.2">
      <c r="A72" s="84" t="s">
        <v>40</v>
      </c>
      <c r="B72" s="136">
        <f>SUM(B73:B81)</f>
        <v>6676538900</v>
      </c>
      <c r="C72" s="136">
        <f>+C78+C79+C73+C74+C75+C76+C77+C81+C80</f>
        <v>6907485562.2300005</v>
      </c>
      <c r="D72" s="122">
        <f t="shared" ref="D72:D77" si="22">C72/C$82*100</f>
        <v>69.010964241754365</v>
      </c>
      <c r="E72" s="122">
        <f t="shared" si="13"/>
        <v>230946662.2300005</v>
      </c>
      <c r="F72" s="136">
        <f>SUM(F73:F81)</f>
        <v>6726729451.6300011</v>
      </c>
      <c r="G72" s="122">
        <f t="shared" ref="G72:G77" si="23">F72/F$82*100</f>
        <v>67.357249384010672</v>
      </c>
      <c r="H72" s="122">
        <f t="shared" ref="H72:H82" si="24">F72/C72*100</f>
        <v>97.383185111694331</v>
      </c>
      <c r="I72" s="136">
        <f>SUM(I73:I81)</f>
        <v>7646926140</v>
      </c>
      <c r="J72" s="136">
        <f>+J78+J79+J73+J74+J75+J76+J77+J81+J80</f>
        <v>6386943730.3999996</v>
      </c>
      <c r="K72" s="136">
        <f>+K78+K79+K73+K74+K75+K76+K77+K81+K80</f>
        <v>5926878594.5699997</v>
      </c>
      <c r="L72" s="137">
        <f t="shared" si="5"/>
        <v>-460065135.82999992</v>
      </c>
      <c r="M72" s="122">
        <f t="shared" ref="M72:M82" si="25">K72/K$82*100</f>
        <v>62.450344483904864</v>
      </c>
      <c r="N72" s="122">
        <f t="shared" si="6"/>
        <v>-1720047545.4300003</v>
      </c>
      <c r="O72" s="137">
        <f>SUM(O73:O81)</f>
        <v>5533525596.5900011</v>
      </c>
      <c r="P72" s="122">
        <f t="shared" ref="P72:P82" si="26">O72/O$82*100</f>
        <v>59.669622254642377</v>
      </c>
      <c r="Q72" s="122">
        <f t="shared" si="7"/>
        <v>93.363235104218688</v>
      </c>
      <c r="R72" s="122">
        <f t="shared" si="8"/>
        <v>-393352997.97999859</v>
      </c>
      <c r="S72" s="122">
        <f t="shared" si="9"/>
        <v>-1193203855.04</v>
      </c>
    </row>
    <row r="73" spans="1:19" ht="30" x14ac:dyDescent="0.25">
      <c r="A73" s="82" t="s">
        <v>181</v>
      </c>
      <c r="B73" s="123">
        <v>976017400</v>
      </c>
      <c r="C73" s="123">
        <v>1133667398.7</v>
      </c>
      <c r="D73" s="124">
        <f t="shared" si="22"/>
        <v>11.326188033098255</v>
      </c>
      <c r="E73" s="124">
        <f t="shared" si="13"/>
        <v>157649998.70000005</v>
      </c>
      <c r="F73" s="123">
        <v>1133667398.7</v>
      </c>
      <c r="G73" s="124">
        <f t="shared" si="23"/>
        <v>11.351834237105383</v>
      </c>
      <c r="H73" s="124">
        <f t="shared" si="24"/>
        <v>100</v>
      </c>
      <c r="I73" s="123">
        <v>998449000</v>
      </c>
      <c r="J73" s="123">
        <v>1049510100</v>
      </c>
      <c r="K73" s="123">
        <v>1049510100</v>
      </c>
      <c r="L73" s="123">
        <f t="shared" si="5"/>
        <v>0</v>
      </c>
      <c r="M73" s="124">
        <f t="shared" si="25"/>
        <v>11.05847981168114</v>
      </c>
      <c r="N73" s="124">
        <f t="shared" si="6"/>
        <v>51061100</v>
      </c>
      <c r="O73" s="123">
        <f>996179700+29511200+23819200</f>
        <v>1049510100</v>
      </c>
      <c r="P73" s="124">
        <f t="shared" si="26"/>
        <v>11.31717385711986</v>
      </c>
      <c r="Q73" s="124">
        <f t="shared" si="7"/>
        <v>100</v>
      </c>
      <c r="R73" s="124">
        <f t="shared" si="8"/>
        <v>0</v>
      </c>
      <c r="S73" s="124">
        <f t="shared" si="9"/>
        <v>-84157298.700000048</v>
      </c>
    </row>
    <row r="74" spans="1:19" ht="45" x14ac:dyDescent="0.2">
      <c r="A74" s="86" t="s">
        <v>182</v>
      </c>
      <c r="B74" s="123">
        <v>2057567500</v>
      </c>
      <c r="C74" s="123">
        <v>2161795757.5300002</v>
      </c>
      <c r="D74" s="124">
        <f t="shared" si="22"/>
        <v>21.59796185990372</v>
      </c>
      <c r="E74" s="124">
        <f t="shared" si="13"/>
        <v>104228257.53000021</v>
      </c>
      <c r="F74" s="123">
        <v>1614180166.72</v>
      </c>
      <c r="G74" s="124">
        <f t="shared" si="23"/>
        <v>16.163387694169359</v>
      </c>
      <c r="H74" s="124">
        <f t="shared" si="24"/>
        <v>74.668486192438067</v>
      </c>
      <c r="I74" s="123">
        <v>2985386300</v>
      </c>
      <c r="J74" s="123">
        <v>1771646596.4000001</v>
      </c>
      <c r="K74" s="123">
        <v>1277798200.5699999</v>
      </c>
      <c r="L74" s="123">
        <f t="shared" ref="L74:L81" si="27">K74-J74</f>
        <v>-493848395.83000016</v>
      </c>
      <c r="M74" s="124">
        <f t="shared" si="25"/>
        <v>13.463906259125885</v>
      </c>
      <c r="N74" s="124">
        <f t="shared" ref="N74:N82" si="28">K74-I74</f>
        <v>-1707588099.4300001</v>
      </c>
      <c r="O74" s="123">
        <f>27677550.31+143717572.35+224789024.9+1261700+77988065.73+558673.94+1413469.17+35326352.33+32377761.93+135357091.06</f>
        <v>680467261.72000003</v>
      </c>
      <c r="P74" s="124">
        <f t="shared" si="26"/>
        <v>7.3376771742963909</v>
      </c>
      <c r="Q74" s="124">
        <f t="shared" ref="Q74:Q82" si="29">O74/K74*100</f>
        <v>53.253108465519617</v>
      </c>
      <c r="R74" s="124">
        <f t="shared" ref="R74:R81" si="30">O74-K74</f>
        <v>-597330938.8499999</v>
      </c>
      <c r="S74" s="124">
        <f t="shared" ref="S74:S81" si="31">O74-F74</f>
        <v>-933712905</v>
      </c>
    </row>
    <row r="75" spans="1:19" ht="30" x14ac:dyDescent="0.2">
      <c r="A75" s="86" t="s">
        <v>183</v>
      </c>
      <c r="B75" s="123">
        <v>3639251000</v>
      </c>
      <c r="C75" s="123">
        <v>3581355882</v>
      </c>
      <c r="D75" s="124">
        <f t="shared" si="22"/>
        <v>35.780432761398103</v>
      </c>
      <c r="E75" s="124">
        <f t="shared" si="13"/>
        <v>-57895118</v>
      </c>
      <c r="F75" s="123">
        <v>3551045509.5500002</v>
      </c>
      <c r="G75" s="124">
        <f t="shared" si="23"/>
        <v>35.557942337456602</v>
      </c>
      <c r="H75" s="124">
        <f t="shared" si="24"/>
        <v>99.153662091993127</v>
      </c>
      <c r="I75" s="123">
        <v>3569141200</v>
      </c>
      <c r="J75" s="123">
        <v>3675241200</v>
      </c>
      <c r="K75" s="123">
        <v>3698308900</v>
      </c>
      <c r="L75" s="123">
        <f t="shared" si="27"/>
        <v>23067700</v>
      </c>
      <c r="M75" s="124">
        <f t="shared" si="25"/>
        <v>38.968347525203129</v>
      </c>
      <c r="N75" s="124">
        <f t="shared" si="28"/>
        <v>129167700</v>
      </c>
      <c r="O75" s="123">
        <f>3447169369.63+71810758.84+122861352+12888+945018+3005550+78482.12+10331617.53</f>
        <v>3656215036.1200004</v>
      </c>
      <c r="P75" s="124">
        <f t="shared" si="26"/>
        <v>39.426034320952049</v>
      </c>
      <c r="Q75" s="124">
        <f t="shared" si="29"/>
        <v>98.861807787878405</v>
      </c>
      <c r="R75" s="124">
        <f t="shared" si="30"/>
        <v>-42093863.879999638</v>
      </c>
      <c r="S75" s="124">
        <f t="shared" si="31"/>
        <v>105169526.57000017</v>
      </c>
    </row>
    <row r="76" spans="1:19" x14ac:dyDescent="0.2">
      <c r="A76" s="87" t="s">
        <v>143</v>
      </c>
      <c r="B76" s="123">
        <v>3501500</v>
      </c>
      <c r="C76" s="123">
        <v>161457603</v>
      </c>
      <c r="D76" s="124">
        <f t="shared" si="22"/>
        <v>1.6130826140438863</v>
      </c>
      <c r="E76" s="124">
        <f t="shared" si="13"/>
        <v>157956103</v>
      </c>
      <c r="F76" s="123">
        <v>157260131.43000001</v>
      </c>
      <c r="G76" s="124">
        <f t="shared" si="23"/>
        <v>1.5747043146392687</v>
      </c>
      <c r="H76" s="124">
        <f>F76/C76*100</f>
        <v>97.400263913245382</v>
      </c>
      <c r="I76" s="123">
        <v>93266800</v>
      </c>
      <c r="J76" s="123">
        <v>103926922</v>
      </c>
      <c r="K76" s="123">
        <v>114642482</v>
      </c>
      <c r="L76" s="123">
        <f t="shared" si="27"/>
        <v>10715560</v>
      </c>
      <c r="M76" s="124">
        <f t="shared" si="25"/>
        <v>1.207965099867089</v>
      </c>
      <c r="N76" s="124">
        <f t="shared" si="28"/>
        <v>21375682</v>
      </c>
      <c r="O76" s="123">
        <f>82923905.42+29814381.84</f>
        <v>112738287.26000001</v>
      </c>
      <c r="P76" s="124">
        <f t="shared" si="26"/>
        <v>1.2156898702312069</v>
      </c>
      <c r="Q76" s="124">
        <f t="shared" si="29"/>
        <v>98.339014729286831</v>
      </c>
      <c r="R76" s="124">
        <f t="shared" si="30"/>
        <v>-1904194.7399999946</v>
      </c>
      <c r="S76" s="124">
        <f t="shared" si="31"/>
        <v>-44521844.170000002</v>
      </c>
    </row>
    <row r="77" spans="1:19" ht="30" x14ac:dyDescent="0.2">
      <c r="A77" s="86" t="s">
        <v>184</v>
      </c>
      <c r="B77" s="123">
        <v>0</v>
      </c>
      <c r="C77" s="123">
        <v>-1</v>
      </c>
      <c r="D77" s="124">
        <f t="shared" si="22"/>
        <v>-9.9907504141745883E-9</v>
      </c>
      <c r="E77" s="124">
        <f t="shared" si="13"/>
        <v>-1</v>
      </c>
      <c r="F77" s="123">
        <v>-1256224.7</v>
      </c>
      <c r="G77" s="124">
        <f t="shared" si="23"/>
        <v>-1.2579046178191415E-2</v>
      </c>
      <c r="H77" s="124">
        <v>0</v>
      </c>
      <c r="I77" s="123">
        <v>0</v>
      </c>
      <c r="J77" s="123">
        <v>0</v>
      </c>
      <c r="K77" s="123">
        <v>0</v>
      </c>
      <c r="L77" s="123">
        <f t="shared" si="27"/>
        <v>0</v>
      </c>
      <c r="M77" s="124">
        <f t="shared" si="25"/>
        <v>0</v>
      </c>
      <c r="N77" s="124">
        <f t="shared" si="28"/>
        <v>0</v>
      </c>
      <c r="O77" s="123">
        <v>247976000</v>
      </c>
      <c r="P77" s="124">
        <f t="shared" si="26"/>
        <v>2.673997615071217</v>
      </c>
      <c r="Q77" s="124">
        <v>0</v>
      </c>
      <c r="R77" s="124">
        <f t="shared" si="30"/>
        <v>247976000</v>
      </c>
      <c r="S77" s="124">
        <f t="shared" si="31"/>
        <v>249232224.69999999</v>
      </c>
    </row>
    <row r="78" spans="1:19" ht="45" x14ac:dyDescent="0.2">
      <c r="A78" s="120" t="s">
        <v>185</v>
      </c>
      <c r="B78" s="123">
        <v>200000</v>
      </c>
      <c r="C78" s="123">
        <v>260951</v>
      </c>
      <c r="D78" s="124">
        <v>0</v>
      </c>
      <c r="E78" s="124">
        <f t="shared" si="13"/>
        <v>60951</v>
      </c>
      <c r="F78" s="123">
        <v>402650000</v>
      </c>
      <c r="G78" s="124">
        <v>0</v>
      </c>
      <c r="H78" s="124">
        <v>0</v>
      </c>
      <c r="I78" s="123">
        <v>682840</v>
      </c>
      <c r="J78" s="123">
        <v>49454</v>
      </c>
      <c r="K78" s="123">
        <v>49454</v>
      </c>
      <c r="L78" s="123">
        <f t="shared" si="27"/>
        <v>0</v>
      </c>
      <c r="M78" s="124">
        <f t="shared" si="25"/>
        <v>5.2108699154670274E-4</v>
      </c>
      <c r="N78" s="124">
        <f t="shared" si="28"/>
        <v>-633386</v>
      </c>
      <c r="O78" s="123">
        <v>49453.38</v>
      </c>
      <c r="P78" s="124">
        <f t="shared" si="26"/>
        <v>5.3327023654390184E-4</v>
      </c>
      <c r="Q78" s="124">
        <f t="shared" si="29"/>
        <v>99.998746309701943</v>
      </c>
      <c r="R78" s="124">
        <f t="shared" si="30"/>
        <v>-0.62000000000261934</v>
      </c>
      <c r="S78" s="124">
        <f t="shared" si="31"/>
        <v>-402600546.62</v>
      </c>
    </row>
    <row r="79" spans="1:19" ht="60" x14ac:dyDescent="0.2">
      <c r="A79" s="120" t="s">
        <v>201</v>
      </c>
      <c r="B79" s="123">
        <v>1500</v>
      </c>
      <c r="C79" s="123">
        <v>1500</v>
      </c>
      <c r="D79" s="124">
        <v>0</v>
      </c>
      <c r="E79" s="124">
        <f t="shared" si="13"/>
        <v>0</v>
      </c>
      <c r="F79" s="123">
        <v>0</v>
      </c>
      <c r="G79" s="124">
        <v>0</v>
      </c>
      <c r="H79" s="124">
        <v>0</v>
      </c>
      <c r="I79" s="123">
        <v>0</v>
      </c>
      <c r="J79" s="123">
        <v>0</v>
      </c>
      <c r="K79" s="123">
        <v>0</v>
      </c>
      <c r="L79" s="123">
        <f t="shared" si="27"/>
        <v>0</v>
      </c>
      <c r="M79" s="124">
        <f t="shared" si="25"/>
        <v>0</v>
      </c>
      <c r="N79" s="124">
        <f t="shared" si="28"/>
        <v>0</v>
      </c>
      <c r="O79" s="123">
        <v>0</v>
      </c>
      <c r="P79" s="124">
        <f t="shared" si="26"/>
        <v>0</v>
      </c>
      <c r="Q79" s="124">
        <v>0</v>
      </c>
      <c r="R79" s="124">
        <f t="shared" si="30"/>
        <v>0</v>
      </c>
      <c r="S79" s="124">
        <f t="shared" si="31"/>
        <v>0</v>
      </c>
    </row>
    <row r="80" spans="1:19" ht="45" x14ac:dyDescent="0.2">
      <c r="A80" s="86" t="s">
        <v>186</v>
      </c>
      <c r="B80" s="123">
        <v>0</v>
      </c>
      <c r="C80" s="123">
        <v>184607</v>
      </c>
      <c r="D80" s="124">
        <f>C80/C$82*100</f>
        <v>1.8443624617095282E-3</v>
      </c>
      <c r="E80" s="124">
        <f t="shared" si="13"/>
        <v>184607</v>
      </c>
      <c r="F80" s="123">
        <v>684605.56</v>
      </c>
      <c r="G80" s="124">
        <f>F80/F$82*100</f>
        <v>6.8552106586398064E-3</v>
      </c>
      <c r="H80" s="124">
        <f t="shared" si="24"/>
        <v>370.84485420379514</v>
      </c>
      <c r="I80" s="123">
        <v>0</v>
      </c>
      <c r="J80" s="123">
        <v>1069351</v>
      </c>
      <c r="K80" s="123">
        <v>1069351</v>
      </c>
      <c r="L80" s="123">
        <f t="shared" si="27"/>
        <v>0</v>
      </c>
      <c r="M80" s="124">
        <f t="shared" si="25"/>
        <v>1.1267539440640961E-2</v>
      </c>
      <c r="N80" s="124">
        <f t="shared" si="28"/>
        <v>1069351</v>
      </c>
      <c r="O80" s="123">
        <f>891100+178080.72+170</f>
        <v>1069350.72</v>
      </c>
      <c r="P80" s="124">
        <f t="shared" si="26"/>
        <v>1.1531121055887217E-2</v>
      </c>
      <c r="Q80" s="124">
        <f t="shared" si="29"/>
        <v>99.999973815893938</v>
      </c>
      <c r="R80" s="124">
        <f t="shared" si="30"/>
        <v>-0.28000000002793968</v>
      </c>
      <c r="S80" s="124">
        <f t="shared" si="31"/>
        <v>384745.15999999992</v>
      </c>
    </row>
    <row r="81" spans="1:19" ht="75" x14ac:dyDescent="0.2">
      <c r="A81" s="86" t="s">
        <v>97</v>
      </c>
      <c r="B81" s="123">
        <v>0</v>
      </c>
      <c r="C81" s="123">
        <v>-131238136</v>
      </c>
      <c r="D81" s="124">
        <f>C81/C$82*100</f>
        <v>-1.3111674615975011</v>
      </c>
      <c r="E81" s="124">
        <f t="shared" si="13"/>
        <v>-131238136</v>
      </c>
      <c r="F81" s="123">
        <v>-131502135.63</v>
      </c>
      <c r="G81" s="124">
        <f>F81/F$82*100</f>
        <v>-1.31677990141458</v>
      </c>
      <c r="H81" s="124">
        <f t="shared" si="24"/>
        <v>100.20116075863801</v>
      </c>
      <c r="I81" s="123">
        <v>0</v>
      </c>
      <c r="J81" s="123">
        <v>-214499893</v>
      </c>
      <c r="K81" s="123">
        <v>-214499893</v>
      </c>
      <c r="L81" s="123">
        <f t="shared" si="27"/>
        <v>0</v>
      </c>
      <c r="M81" s="124">
        <f t="shared" si="25"/>
        <v>-2.2601428384045708</v>
      </c>
      <c r="N81" s="124">
        <f t="shared" si="28"/>
        <v>-214499893</v>
      </c>
      <c r="O81" s="123">
        <f>-0.02-10298.7-214489593.89</f>
        <v>-214499892.60999998</v>
      </c>
      <c r="P81" s="124">
        <f t="shared" si="26"/>
        <v>-2.3130149743207897</v>
      </c>
      <c r="Q81" s="124">
        <f t="shared" si="29"/>
        <v>99.99999981818172</v>
      </c>
      <c r="R81" s="124">
        <f t="shared" si="30"/>
        <v>0.39000001549720764</v>
      </c>
      <c r="S81" s="124">
        <f t="shared" si="31"/>
        <v>-82997756.979999989</v>
      </c>
    </row>
    <row r="82" spans="1:19" s="80" customFormat="1" ht="14.25" x14ac:dyDescent="0.2">
      <c r="A82" s="85" t="s">
        <v>48</v>
      </c>
      <c r="B82" s="136">
        <f>B9+B26+B72</f>
        <v>9680187974</v>
      </c>
      <c r="C82" s="136">
        <f>C9+C26+C72</f>
        <v>10009258149.23</v>
      </c>
      <c r="D82" s="122">
        <f>C82/C$82*100</f>
        <v>100</v>
      </c>
      <c r="E82" s="122">
        <f>C82-B82</f>
        <v>329070175.22999954</v>
      </c>
      <c r="F82" s="136">
        <f>F9+F26+F72</f>
        <v>9986645109.6900024</v>
      </c>
      <c r="G82" s="122">
        <f>F82/F$82*100</f>
        <v>100</v>
      </c>
      <c r="H82" s="122">
        <f t="shared" si="24"/>
        <v>99.774078765850021</v>
      </c>
      <c r="I82" s="136">
        <f>I9+I26+I72</f>
        <v>10682255577</v>
      </c>
      <c r="J82" s="136">
        <f>J9+J26+J72</f>
        <v>9950611014.3999996</v>
      </c>
      <c r="K82" s="136">
        <f>K9+K26+K72</f>
        <v>9490545878.5699997</v>
      </c>
      <c r="L82" s="128">
        <f>K82-J82</f>
        <v>-460065135.82999992</v>
      </c>
      <c r="M82" s="122">
        <f t="shared" si="25"/>
        <v>100</v>
      </c>
      <c r="N82" s="122">
        <f t="shared" si="28"/>
        <v>-1191709698.4300003</v>
      </c>
      <c r="O82" s="137">
        <f>O9+O26+O72</f>
        <v>9273605877.6700001</v>
      </c>
      <c r="P82" s="122">
        <f t="shared" si="26"/>
        <v>100</v>
      </c>
      <c r="Q82" s="122">
        <f t="shared" si="29"/>
        <v>97.714146228512959</v>
      </c>
      <c r="R82" s="122">
        <f>O82-K82</f>
        <v>-216940000.89999962</v>
      </c>
      <c r="S82" s="122">
        <f>O82-F82</f>
        <v>-713039232.02000237</v>
      </c>
    </row>
    <row r="83" spans="1:19" ht="15" customHeight="1" x14ac:dyDescent="0.25">
      <c r="B83" s="135"/>
      <c r="F83" s="130"/>
      <c r="I83" s="135"/>
      <c r="O83" s="130"/>
    </row>
    <row r="84" spans="1:19" ht="15" customHeight="1" x14ac:dyDescent="0.25">
      <c r="B84" s="119"/>
      <c r="C84" s="98"/>
      <c r="E84" s="118"/>
      <c r="F84" s="130"/>
      <c r="I84" s="119"/>
      <c r="J84" s="98"/>
      <c r="K84" s="98"/>
      <c r="L84" s="98"/>
      <c r="M84" s="98"/>
      <c r="N84" s="99"/>
      <c r="O84" s="130"/>
    </row>
    <row r="85" spans="1:19" hidden="1" x14ac:dyDescent="0.25">
      <c r="C85" s="99"/>
      <c r="F85" s="129"/>
      <c r="J85" s="99"/>
      <c r="K85" s="99"/>
      <c r="L85" s="99"/>
      <c r="M85" s="99"/>
      <c r="O85" s="129"/>
    </row>
    <row r="86" spans="1:19" hidden="1" x14ac:dyDescent="0.25">
      <c r="C86" s="99"/>
      <c r="F86" s="130"/>
      <c r="J86" s="99"/>
      <c r="K86" s="99"/>
      <c r="L86" s="99"/>
      <c r="M86" s="99"/>
      <c r="O86" s="130"/>
      <c r="R86" s="83"/>
    </row>
    <row r="87" spans="1:19" ht="30" hidden="1" x14ac:dyDescent="0.25">
      <c r="A87" s="82" t="s">
        <v>181</v>
      </c>
      <c r="B87" s="123">
        <v>10286400</v>
      </c>
      <c r="C87" s="123" t="e">
        <f>A87-B87</f>
        <v>#VALUE!</v>
      </c>
      <c r="D87" s="131"/>
      <c r="E87" s="131"/>
      <c r="G87" s="131"/>
      <c r="H87" s="132"/>
      <c r="I87" s="123">
        <v>10286400</v>
      </c>
      <c r="J87" s="123">
        <f>7598800+2687600</f>
        <v>10286400</v>
      </c>
      <c r="K87" s="123"/>
      <c r="L87" s="99"/>
      <c r="M87" s="99"/>
    </row>
    <row r="88" spans="1:19" ht="45" hidden="1" x14ac:dyDescent="0.25">
      <c r="A88" s="86" t="s">
        <v>182</v>
      </c>
      <c r="B88" s="123">
        <v>-133701822</v>
      </c>
      <c r="C88" s="123" t="e">
        <f t="shared" ref="C88:C90" si="32">A88-B88</f>
        <v>#VALUE!</v>
      </c>
      <c r="D88" s="131"/>
      <c r="E88" s="131"/>
      <c r="F88" s="129"/>
      <c r="G88" s="131"/>
      <c r="H88" s="132"/>
      <c r="I88" s="123">
        <v>-133701822</v>
      </c>
      <c r="J88" s="123">
        <f>-13013970+1682871+830877-7356200+109876300-29400-7500-25143300-59060800-37760100-101855100-1865500</f>
        <v>-133701822</v>
      </c>
      <c r="K88" s="123"/>
      <c r="L88" s="99"/>
      <c r="M88" s="99"/>
      <c r="O88" s="129"/>
      <c r="P88" s="99"/>
    </row>
    <row r="89" spans="1:19" ht="30" hidden="1" x14ac:dyDescent="0.25">
      <c r="A89" s="86" t="s">
        <v>183</v>
      </c>
      <c r="B89" s="123">
        <v>-101664166</v>
      </c>
      <c r="C89" s="123" t="e">
        <f>A89-B89</f>
        <v>#VALUE!</v>
      </c>
      <c r="D89" s="133"/>
      <c r="E89" s="133"/>
      <c r="G89" s="133"/>
      <c r="H89" s="134"/>
      <c r="I89" s="123">
        <v>-101664166</v>
      </c>
      <c r="J89" s="123">
        <f>-419000-4.5+4.5-80918400-16538000-3620166-13400-77900-77300</f>
        <v>-101664166</v>
      </c>
      <c r="K89" s="123"/>
    </row>
    <row r="90" spans="1:19" hidden="1" x14ac:dyDescent="0.25">
      <c r="A90" s="87" t="s">
        <v>143</v>
      </c>
      <c r="B90" s="123">
        <v>7598800</v>
      </c>
      <c r="C90" s="123" t="e">
        <f t="shared" si="32"/>
        <v>#VALUE!</v>
      </c>
      <c r="D90" s="133"/>
      <c r="E90" s="133"/>
      <c r="G90" s="133"/>
      <c r="H90" s="134"/>
      <c r="I90" s="123">
        <v>7598800</v>
      </c>
      <c r="J90" s="123">
        <v>7598800</v>
      </c>
      <c r="K90" s="123"/>
      <c r="L90" s="99"/>
      <c r="M90" s="99"/>
    </row>
    <row r="91" spans="1:19" x14ac:dyDescent="0.25">
      <c r="B91" s="119"/>
      <c r="D91" s="110"/>
      <c r="E91" s="110"/>
      <c r="G91" s="110"/>
      <c r="H91" s="110"/>
      <c r="I91" s="119"/>
      <c r="K91" s="98"/>
    </row>
    <row r="92" spans="1:19" x14ac:dyDescent="0.25">
      <c r="B92" s="119"/>
      <c r="D92" s="110"/>
      <c r="E92" s="110"/>
      <c r="G92" s="110"/>
      <c r="H92" s="110"/>
      <c r="I92" s="119"/>
    </row>
    <row r="93" spans="1:19" x14ac:dyDescent="0.25">
      <c r="K93" s="99"/>
    </row>
  </sheetData>
  <autoFilter ref="A8:S84"/>
  <mergeCells count="6">
    <mergeCell ref="R1:S2"/>
    <mergeCell ref="A4:S4"/>
    <mergeCell ref="B6:H6"/>
    <mergeCell ref="R6:S6"/>
    <mergeCell ref="A6:A7"/>
    <mergeCell ref="I6:Q6"/>
  </mergeCells>
  <pageMargins left="0.27559055118110237" right="0.27559055118110237" top="0.98425196850393704" bottom="0.39370078740157483" header="0.31496062992125984" footer="0.31496062992125984"/>
  <pageSetup paperSize="9" scale="43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53" t="s">
        <v>73</v>
      </c>
      <c r="T1" s="153"/>
    </row>
    <row r="2" spans="1:20" s="29" customFormat="1" ht="12.75" x14ac:dyDescent="0.2">
      <c r="A2" s="150" t="s">
        <v>150</v>
      </c>
      <c r="B2" s="151"/>
      <c r="C2" s="151"/>
      <c r="D2" s="151"/>
      <c r="E2" s="151"/>
      <c r="F2" s="151"/>
      <c r="G2" s="151"/>
      <c r="H2" s="151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54" t="s">
        <v>0</v>
      </c>
      <c r="B4" s="146" t="s">
        <v>107</v>
      </c>
      <c r="C4" s="146"/>
      <c r="D4" s="146"/>
      <c r="E4" s="146"/>
      <c r="F4" s="146"/>
      <c r="G4" s="146"/>
      <c r="H4" s="147"/>
      <c r="L4" s="146" t="s">
        <v>149</v>
      </c>
      <c r="M4" s="146"/>
      <c r="N4" s="146"/>
      <c r="O4" s="146"/>
      <c r="P4" s="146"/>
      <c r="Q4" s="146"/>
      <c r="R4" s="147"/>
      <c r="S4" s="148" t="s">
        <v>56</v>
      </c>
      <c r="T4" s="149"/>
    </row>
    <row r="5" spans="1:20" ht="120" x14ac:dyDescent="0.2">
      <c r="A5" s="155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160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60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№ 2</vt:lpstr>
      <vt:lpstr>Отчет о совместимости</vt:lpstr>
      <vt:lpstr>2012 год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2022-04-21T06:19:40Z</cp:lastPrinted>
  <dcterms:created xsi:type="dcterms:W3CDTF">1996-10-08T23:32:33Z</dcterms:created>
  <dcterms:modified xsi:type="dcterms:W3CDTF">2022-04-22T03:54:57Z</dcterms:modified>
</cp:coreProperties>
</file>