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1 год\Отчёты в 2021 году\Отчёт за 9 месяцев 2021 года\Отчёт с приложениями и аналитической запиской 9 месяцев 2021 года\"/>
    </mc:Choice>
  </mc:AlternateContent>
  <bookViews>
    <workbookView xWindow="480" yWindow="120" windowWidth="15570" windowHeight="11565"/>
  </bookViews>
  <sheets>
    <sheet name="программы" sheetId="4" r:id="rId1"/>
    <sheet name="Лист2" sheetId="2" state="hidden" r:id="rId2"/>
    <sheet name="Лист3" sheetId="3" state="hidden" r:id="rId3"/>
  </sheets>
  <definedNames>
    <definedName name="_xlnm._FilterDatabase" localSheetId="0" hidden="1">программы!$A$4:$H$143</definedName>
    <definedName name="_xlnm.Print_Titles" localSheetId="0">программы!$3:$4</definedName>
    <definedName name="_xlnm.Print_Area" localSheetId="0">программы!$A$1:$H$143</definedName>
  </definedNames>
  <calcPr calcId="152511"/>
</workbook>
</file>

<file path=xl/calcChain.xml><?xml version="1.0" encoding="utf-8"?>
<calcChain xmlns="http://schemas.openxmlformats.org/spreadsheetml/2006/main">
  <c r="G8" i="4" l="1"/>
  <c r="H8" i="4"/>
  <c r="G9" i="4"/>
  <c r="H9" i="4"/>
  <c r="G11" i="4"/>
  <c r="H11" i="4"/>
  <c r="G13" i="4"/>
  <c r="H13" i="4"/>
  <c r="G15" i="4"/>
  <c r="H15" i="4"/>
  <c r="G17" i="4"/>
  <c r="H17" i="4"/>
  <c r="H18" i="4"/>
  <c r="G20" i="4"/>
  <c r="H20" i="4"/>
  <c r="G23" i="4"/>
  <c r="H23" i="4"/>
  <c r="G24" i="4"/>
  <c r="H24" i="4"/>
  <c r="G26" i="4"/>
  <c r="H26" i="4"/>
  <c r="G28" i="4"/>
  <c r="H28" i="4"/>
  <c r="G29" i="4"/>
  <c r="H29" i="4"/>
  <c r="G32" i="4"/>
  <c r="H32" i="4"/>
  <c r="G33" i="4"/>
  <c r="H33" i="4"/>
  <c r="G35" i="4"/>
  <c r="H35" i="4"/>
  <c r="G38" i="4"/>
  <c r="H38" i="4"/>
  <c r="G39" i="4"/>
  <c r="H39" i="4"/>
  <c r="G41" i="4"/>
  <c r="H41" i="4"/>
  <c r="G42" i="4"/>
  <c r="H42" i="4"/>
  <c r="G44" i="4"/>
  <c r="H44" i="4"/>
  <c r="H47" i="4"/>
  <c r="G48" i="4"/>
  <c r="H48" i="4"/>
  <c r="G49" i="4"/>
  <c r="H49" i="4"/>
  <c r="G51" i="4"/>
  <c r="H51" i="4"/>
  <c r="G52" i="4"/>
  <c r="H52" i="4"/>
  <c r="G55" i="4"/>
  <c r="H55" i="4"/>
  <c r="G57" i="4"/>
  <c r="H57" i="4"/>
  <c r="G60" i="4"/>
  <c r="H60" i="4"/>
  <c r="G61" i="4"/>
  <c r="H61" i="4"/>
  <c r="G63" i="4"/>
  <c r="H63" i="4"/>
  <c r="G64" i="4"/>
  <c r="H64" i="4"/>
  <c r="G66" i="4"/>
  <c r="H66" i="4"/>
  <c r="G67" i="4"/>
  <c r="H67" i="4"/>
  <c r="G68" i="4"/>
  <c r="H68" i="4"/>
  <c r="G69" i="4"/>
  <c r="H69" i="4"/>
  <c r="G70" i="4"/>
  <c r="H70" i="4"/>
  <c r="G71" i="4"/>
  <c r="H71" i="4"/>
  <c r="G73" i="4"/>
  <c r="H73" i="4"/>
  <c r="G74" i="4"/>
  <c r="H74" i="4"/>
  <c r="G76" i="4"/>
  <c r="H76" i="4"/>
  <c r="G78" i="4"/>
  <c r="H78" i="4"/>
  <c r="G81" i="4"/>
  <c r="H81" i="4"/>
  <c r="G82" i="4"/>
  <c r="H82" i="4"/>
  <c r="G84" i="4"/>
  <c r="H84" i="4"/>
  <c r="G87" i="4"/>
  <c r="H87" i="4"/>
  <c r="H88" i="4"/>
  <c r="G90" i="4"/>
  <c r="H90" i="4"/>
  <c r="G91" i="4"/>
  <c r="H91" i="4"/>
  <c r="G92" i="4"/>
  <c r="H92" i="4"/>
  <c r="G93" i="4"/>
  <c r="H93" i="4"/>
  <c r="G94" i="4"/>
  <c r="H94" i="4"/>
  <c r="G95" i="4"/>
  <c r="H95" i="4"/>
  <c r="G96" i="4"/>
  <c r="H96" i="4"/>
  <c r="G97" i="4"/>
  <c r="H97" i="4"/>
  <c r="G100" i="4"/>
  <c r="H100" i="4"/>
  <c r="G101" i="4"/>
  <c r="H101" i="4"/>
  <c r="G103" i="4"/>
  <c r="H103" i="4"/>
  <c r="G105" i="4"/>
  <c r="H105" i="4"/>
  <c r="G107" i="4"/>
  <c r="H107" i="4"/>
  <c r="G108" i="4"/>
  <c r="H108" i="4"/>
  <c r="G111" i="4"/>
  <c r="H111" i="4"/>
  <c r="G113" i="4"/>
  <c r="H113" i="4"/>
  <c r="G114" i="4"/>
  <c r="H114" i="4"/>
  <c r="H116" i="4"/>
  <c r="G117" i="4"/>
  <c r="H117" i="4"/>
  <c r="G120" i="4"/>
  <c r="H120" i="4"/>
  <c r="G122" i="4"/>
  <c r="H122" i="4"/>
  <c r="G124" i="4"/>
  <c r="H124" i="4"/>
  <c r="G125" i="4"/>
  <c r="H125" i="4"/>
  <c r="G126" i="4"/>
  <c r="H126" i="4"/>
  <c r="G129" i="4"/>
  <c r="H129" i="4"/>
  <c r="G130" i="4"/>
  <c r="H130" i="4"/>
  <c r="H131" i="4"/>
  <c r="G133" i="4"/>
  <c r="H133" i="4"/>
  <c r="G135" i="4"/>
  <c r="H135" i="4"/>
  <c r="G136" i="4"/>
  <c r="H136" i="4"/>
  <c r="G137" i="4"/>
  <c r="H137" i="4"/>
  <c r="G138" i="4"/>
  <c r="H138" i="4"/>
  <c r="G139" i="4"/>
  <c r="H139" i="4"/>
  <c r="G141" i="4"/>
  <c r="H141" i="4"/>
  <c r="G142" i="4"/>
  <c r="H142" i="4"/>
  <c r="F7" i="4"/>
  <c r="F8" i="4"/>
  <c r="F9" i="4"/>
  <c r="F11" i="4"/>
  <c r="F13" i="4"/>
  <c r="F15" i="4"/>
  <c r="F17" i="4"/>
  <c r="F18" i="4"/>
  <c r="F20" i="4"/>
  <c r="F23" i="4"/>
  <c r="F24" i="4"/>
  <c r="F26" i="4"/>
  <c r="F28" i="4"/>
  <c r="F29" i="4"/>
  <c r="F32" i="4"/>
  <c r="F33" i="4"/>
  <c r="F35" i="4"/>
  <c r="F38" i="4"/>
  <c r="F39" i="4"/>
  <c r="F41" i="4"/>
  <c r="F42" i="4"/>
  <c r="F44" i="4"/>
  <c r="F47" i="4"/>
  <c r="F48" i="4"/>
  <c r="F49" i="4"/>
  <c r="F51" i="4"/>
  <c r="F52" i="4"/>
  <c r="F54" i="4"/>
  <c r="F55" i="4"/>
  <c r="F57" i="4"/>
  <c r="F60" i="4"/>
  <c r="F61" i="4"/>
  <c r="F63" i="4"/>
  <c r="F64" i="4"/>
  <c r="F66" i="4"/>
  <c r="F67" i="4"/>
  <c r="F68" i="4"/>
  <c r="F69" i="4"/>
  <c r="F70" i="4"/>
  <c r="F71" i="4"/>
  <c r="F73" i="4"/>
  <c r="F74" i="4"/>
  <c r="F76" i="4"/>
  <c r="F78" i="4"/>
  <c r="F81" i="4"/>
  <c r="F82" i="4"/>
  <c r="F84" i="4"/>
  <c r="F87" i="4"/>
  <c r="F88" i="4"/>
  <c r="F90" i="4"/>
  <c r="F91" i="4"/>
  <c r="F92" i="4"/>
  <c r="F93" i="4"/>
  <c r="F94" i="4"/>
  <c r="F95" i="4"/>
  <c r="F96" i="4"/>
  <c r="F97" i="4"/>
  <c r="F100" i="4"/>
  <c r="F101" i="4"/>
  <c r="F103" i="4"/>
  <c r="F105" i="4"/>
  <c r="F107" i="4"/>
  <c r="F108" i="4"/>
  <c r="F111" i="4"/>
  <c r="F113" i="4"/>
  <c r="F114" i="4"/>
  <c r="F116" i="4"/>
  <c r="F117" i="4"/>
  <c r="F120" i="4"/>
  <c r="F122" i="4"/>
  <c r="F124" i="4"/>
  <c r="F125" i="4"/>
  <c r="F126" i="4"/>
  <c r="F129" i="4"/>
  <c r="F130" i="4"/>
  <c r="F131" i="4"/>
  <c r="F133" i="4"/>
  <c r="F135" i="4"/>
  <c r="F136" i="4"/>
  <c r="F137" i="4"/>
  <c r="F138" i="4"/>
  <c r="F139" i="4"/>
  <c r="F141" i="4"/>
  <c r="F142" i="4"/>
  <c r="D137" i="4"/>
  <c r="E136" i="4"/>
  <c r="D136" i="4"/>
  <c r="E135" i="4"/>
  <c r="D135" i="4"/>
  <c r="E124" i="4"/>
  <c r="D124" i="4"/>
  <c r="E114" i="4"/>
  <c r="D114" i="4"/>
  <c r="E107" i="4"/>
  <c r="D107" i="4"/>
  <c r="D108" i="4"/>
  <c r="E100" i="4"/>
  <c r="D100" i="4"/>
  <c r="E81" i="4"/>
  <c r="D81" i="4"/>
  <c r="D74" i="4"/>
  <c r="E74" i="4"/>
  <c r="D73" i="4"/>
  <c r="D71" i="4"/>
  <c r="D65" i="4"/>
  <c r="E64" i="4"/>
  <c r="D64" i="4"/>
  <c r="D60" i="4"/>
  <c r="E48" i="4"/>
  <c r="E51" i="4"/>
  <c r="D51" i="4"/>
  <c r="E49" i="4"/>
  <c r="D49" i="4"/>
  <c r="D48" i="4"/>
  <c r="D42" i="4"/>
  <c r="D41" i="4"/>
  <c r="E39" i="4"/>
  <c r="D39" i="4"/>
  <c r="E32" i="4"/>
  <c r="D33" i="4"/>
  <c r="D32" i="4"/>
  <c r="E8" i="4"/>
  <c r="E7" i="4"/>
  <c r="D8" i="4"/>
  <c r="D7" i="4"/>
  <c r="C46" i="4" l="1"/>
  <c r="C8" i="4"/>
  <c r="D134" i="4" l="1"/>
  <c r="E134" i="4"/>
  <c r="E130" i="4"/>
  <c r="D130" i="4"/>
  <c r="D123" i="4"/>
  <c r="E123" i="4"/>
  <c r="D99" i="4"/>
  <c r="E99" i="4"/>
  <c r="H7" i="4"/>
  <c r="G7" i="4"/>
  <c r="D72" i="4"/>
  <c r="E72" i="4"/>
  <c r="D52" i="4"/>
  <c r="F72" i="4" l="1"/>
  <c r="G123" i="4"/>
  <c r="G134" i="4"/>
  <c r="G72" i="4"/>
  <c r="G99" i="4"/>
  <c r="F99" i="4"/>
  <c r="F123" i="4"/>
  <c r="F134" i="4"/>
  <c r="E65" i="4"/>
  <c r="B140" i="4"/>
  <c r="C134" i="4"/>
  <c r="H134" i="4" s="1"/>
  <c r="G65" i="4" l="1"/>
  <c r="F65" i="4"/>
  <c r="D132" i="4"/>
  <c r="E132" i="4"/>
  <c r="D89" i="4"/>
  <c r="E89" i="4"/>
  <c r="D46" i="4"/>
  <c r="E46" i="4"/>
  <c r="D22" i="4"/>
  <c r="E22" i="4"/>
  <c r="C22" i="4"/>
  <c r="B22" i="4"/>
  <c r="F132" i="4" l="1"/>
  <c r="F46" i="4"/>
  <c r="G89" i="4"/>
  <c r="F22" i="4"/>
  <c r="F89" i="4"/>
  <c r="G22" i="4"/>
  <c r="H22" i="4"/>
  <c r="G46" i="4"/>
  <c r="H46" i="4"/>
  <c r="G132" i="4"/>
  <c r="C132" i="4"/>
  <c r="H132" i="4" s="1"/>
  <c r="C123" i="4"/>
  <c r="H123" i="4" s="1"/>
  <c r="C115" i="4"/>
  <c r="C99" i="4"/>
  <c r="H99" i="4" s="1"/>
  <c r="C89" i="4"/>
  <c r="H89" i="4" s="1"/>
  <c r="C86" i="4"/>
  <c r="C72" i="4" l="1"/>
  <c r="H72" i="4" s="1"/>
  <c r="B132" i="4" l="1"/>
  <c r="B99" i="4"/>
  <c r="B59" i="4"/>
  <c r="B46" i="4"/>
  <c r="E59" i="4" l="1"/>
  <c r="C59" i="4"/>
  <c r="C27" i="4"/>
  <c r="C16" i="4"/>
  <c r="C140" i="4"/>
  <c r="C128" i="4"/>
  <c r="C121" i="4"/>
  <c r="C119" i="4"/>
  <c r="C112" i="4"/>
  <c r="C110" i="4"/>
  <c r="C106" i="4"/>
  <c r="C104" i="4"/>
  <c r="C102" i="4"/>
  <c r="C83" i="4"/>
  <c r="C80" i="4"/>
  <c r="C79" i="4" s="1"/>
  <c r="C77" i="4"/>
  <c r="C75" i="4"/>
  <c r="C65" i="4"/>
  <c r="H65" i="4" s="1"/>
  <c r="C62" i="4"/>
  <c r="C56" i="4"/>
  <c r="C53" i="4"/>
  <c r="C50" i="4"/>
  <c r="C43" i="4"/>
  <c r="C40" i="4"/>
  <c r="C37" i="4"/>
  <c r="C34" i="4"/>
  <c r="C31" i="4"/>
  <c r="C25" i="4"/>
  <c r="C21" i="4" s="1"/>
  <c r="C19" i="4"/>
  <c r="C14" i="4"/>
  <c r="C12" i="4"/>
  <c r="C10" i="4"/>
  <c r="C6" i="4"/>
  <c r="B134" i="4"/>
  <c r="H59" i="4" l="1"/>
  <c r="D59" i="4"/>
  <c r="F59" i="4" s="1"/>
  <c r="C127" i="4"/>
  <c r="C85" i="4"/>
  <c r="E31" i="4"/>
  <c r="D31" i="4"/>
  <c r="C36" i="4"/>
  <c r="C118" i="4"/>
  <c r="C30" i="4"/>
  <c r="C109" i="4"/>
  <c r="C98" i="4"/>
  <c r="C5" i="4"/>
  <c r="C45" i="4"/>
  <c r="C58" i="4"/>
  <c r="D121" i="4"/>
  <c r="E121" i="4"/>
  <c r="B121" i="4"/>
  <c r="D83" i="4"/>
  <c r="E83" i="4"/>
  <c r="B83" i="4"/>
  <c r="B31" i="4"/>
  <c r="B25" i="4"/>
  <c r="F31" i="4" l="1"/>
  <c r="F121" i="4"/>
  <c r="G83" i="4"/>
  <c r="H83" i="4"/>
  <c r="F83" i="4"/>
  <c r="G31" i="4"/>
  <c r="H31" i="4"/>
  <c r="G121" i="4"/>
  <c r="H121" i="4"/>
  <c r="G59" i="4"/>
  <c r="C143" i="4"/>
  <c r="E34" i="4"/>
  <c r="H34" i="4" l="1"/>
  <c r="D27" i="4"/>
  <c r="E27" i="4"/>
  <c r="D25" i="4"/>
  <c r="E25" i="4"/>
  <c r="G25" i="4" l="1"/>
  <c r="H25" i="4"/>
  <c r="G27" i="4"/>
  <c r="H27" i="4"/>
  <c r="F27" i="4"/>
  <c r="D21" i="4"/>
  <c r="F25" i="4"/>
  <c r="E21" i="4"/>
  <c r="D128" i="4"/>
  <c r="E128" i="4"/>
  <c r="B128" i="4"/>
  <c r="B127" i="4" s="1"/>
  <c r="D115" i="4"/>
  <c r="E115" i="4"/>
  <c r="B115" i="4"/>
  <c r="B89" i="4"/>
  <c r="F115" i="4" l="1"/>
  <c r="G21" i="4"/>
  <c r="H21" i="4"/>
  <c r="G128" i="4"/>
  <c r="H128" i="4"/>
  <c r="F21" i="4"/>
  <c r="G115" i="4"/>
  <c r="H115" i="4"/>
  <c r="F128" i="4"/>
  <c r="D127" i="4"/>
  <c r="E127" i="4"/>
  <c r="E77" i="4"/>
  <c r="D77" i="4"/>
  <c r="B77" i="4"/>
  <c r="D56" i="4"/>
  <c r="E56" i="4"/>
  <c r="B56" i="4"/>
  <c r="D53" i="4"/>
  <c r="E53" i="4"/>
  <c r="B53" i="4"/>
  <c r="E50" i="4"/>
  <c r="B50" i="4"/>
  <c r="D40" i="4"/>
  <c r="E40" i="4"/>
  <c r="B40" i="4"/>
  <c r="B27" i="4"/>
  <c r="D19" i="4"/>
  <c r="E19" i="4"/>
  <c r="B19" i="4"/>
  <c r="F77" i="4" l="1"/>
  <c r="H50" i="4"/>
  <c r="G40" i="4"/>
  <c r="H40" i="4"/>
  <c r="G77" i="4"/>
  <c r="H77" i="4"/>
  <c r="F19" i="4"/>
  <c r="G53" i="4"/>
  <c r="H53" i="4"/>
  <c r="G19" i="4"/>
  <c r="H19" i="4"/>
  <c r="G56" i="4"/>
  <c r="H56" i="4"/>
  <c r="F40" i="4"/>
  <c r="F56" i="4"/>
  <c r="G127" i="4"/>
  <c r="H127" i="4"/>
  <c r="F53" i="4"/>
  <c r="F127" i="4"/>
  <c r="D50" i="4"/>
  <c r="F50" i="4" s="1"/>
  <c r="D75" i="4"/>
  <c r="E75" i="4"/>
  <c r="B72" i="4"/>
  <c r="B123" i="4"/>
  <c r="E102" i="4"/>
  <c r="D86" i="4"/>
  <c r="E86" i="4"/>
  <c r="B86" i="4"/>
  <c r="D43" i="4"/>
  <c r="E43" i="4"/>
  <c r="B43" i="4"/>
  <c r="D37" i="4"/>
  <c r="E37" i="4"/>
  <c r="B37" i="4"/>
  <c r="D62" i="4"/>
  <c r="E62" i="4"/>
  <c r="B62" i="4"/>
  <c r="F43" i="4" l="1"/>
  <c r="F75" i="4"/>
  <c r="G50" i="4"/>
  <c r="G37" i="4"/>
  <c r="H37" i="4"/>
  <c r="H102" i="4"/>
  <c r="G62" i="4"/>
  <c r="H62" i="4"/>
  <c r="F37" i="4"/>
  <c r="F62" i="4"/>
  <c r="G86" i="4"/>
  <c r="H86" i="4"/>
  <c r="G43" i="4"/>
  <c r="H43" i="4"/>
  <c r="F86" i="4"/>
  <c r="G75" i="4"/>
  <c r="H75" i="4"/>
  <c r="D36" i="4"/>
  <c r="B36" i="4"/>
  <c r="E36" i="4"/>
  <c r="D102" i="4"/>
  <c r="F102" i="4" s="1"/>
  <c r="D106" i="4"/>
  <c r="E106" i="4"/>
  <c r="B106" i="4"/>
  <c r="F36" i="4" l="1"/>
  <c r="F106" i="4"/>
  <c r="G102" i="4"/>
  <c r="G36" i="4"/>
  <c r="H36" i="4"/>
  <c r="G106" i="4"/>
  <c r="H106" i="4"/>
  <c r="B45" i="4"/>
  <c r="B21" i="4" l="1"/>
  <c r="E45" i="4" l="1"/>
  <c r="D140" i="4"/>
  <c r="B119" i="4"/>
  <c r="B118" i="4" s="1"/>
  <c r="D119" i="4"/>
  <c r="B110" i="4"/>
  <c r="D110" i="4"/>
  <c r="B112" i="4"/>
  <c r="D112" i="4"/>
  <c r="B80" i="4"/>
  <c r="B79" i="4" s="1"/>
  <c r="D80" i="4"/>
  <c r="B75" i="4"/>
  <c r="B65" i="4"/>
  <c r="D58" i="4"/>
  <c r="E140" i="4"/>
  <c r="E119" i="4"/>
  <c r="B104" i="4"/>
  <c r="D104" i="4"/>
  <c r="E112" i="4"/>
  <c r="E110" i="4"/>
  <c r="E104" i="4"/>
  <c r="B85" i="4"/>
  <c r="E80" i="4"/>
  <c r="B34" i="4"/>
  <c r="D34" i="4"/>
  <c r="B16" i="4"/>
  <c r="D16" i="4"/>
  <c r="E16" i="4"/>
  <c r="B14" i="4"/>
  <c r="D14" i="4"/>
  <c r="E14" i="4"/>
  <c r="B12" i="4"/>
  <c r="D12" i="4"/>
  <c r="F12" i="4" s="1"/>
  <c r="E12" i="4"/>
  <c r="B10" i="4"/>
  <c r="D10" i="4"/>
  <c r="E10" i="4"/>
  <c r="B6" i="4"/>
  <c r="D6" i="4"/>
  <c r="F112" i="4" l="1"/>
  <c r="F119" i="4"/>
  <c r="F14" i="4"/>
  <c r="F34" i="4"/>
  <c r="G34" i="4"/>
  <c r="F10" i="4"/>
  <c r="G16" i="4"/>
  <c r="H16" i="4"/>
  <c r="G110" i="4"/>
  <c r="H110" i="4"/>
  <c r="G14" i="4"/>
  <c r="H14" i="4"/>
  <c r="F16" i="4"/>
  <c r="G80" i="4"/>
  <c r="H80" i="4"/>
  <c r="G112" i="4"/>
  <c r="H112" i="4"/>
  <c r="G140" i="4"/>
  <c r="H140" i="4"/>
  <c r="D79" i="4"/>
  <c r="F80" i="4"/>
  <c r="F110" i="4"/>
  <c r="F140" i="4"/>
  <c r="G10" i="4"/>
  <c r="H10" i="4"/>
  <c r="G104" i="4"/>
  <c r="H104" i="4"/>
  <c r="G119" i="4"/>
  <c r="H119" i="4"/>
  <c r="G12" i="4"/>
  <c r="H12" i="4"/>
  <c r="F104" i="4"/>
  <c r="H45" i="4"/>
  <c r="E79" i="4"/>
  <c r="D118" i="4"/>
  <c r="E118" i="4"/>
  <c r="E58" i="4"/>
  <c r="F58" i="4" s="1"/>
  <c r="B58" i="4"/>
  <c r="B5" i="4"/>
  <c r="D85" i="4"/>
  <c r="D5" i="4"/>
  <c r="E109" i="4"/>
  <c r="B109" i="4"/>
  <c r="D109" i="4"/>
  <c r="E98" i="4"/>
  <c r="D98" i="4"/>
  <c r="E6" i="4"/>
  <c r="F6" i="4" s="1"/>
  <c r="B30" i="4"/>
  <c r="D30" i="4"/>
  <c r="E30" i="4"/>
  <c r="F109" i="4" l="1"/>
  <c r="F98" i="4"/>
  <c r="G30" i="4"/>
  <c r="H30" i="4"/>
  <c r="F79" i="4"/>
  <c r="G118" i="4"/>
  <c r="H118" i="4"/>
  <c r="F118" i="4"/>
  <c r="G109" i="4"/>
  <c r="H109" i="4"/>
  <c r="G79" i="4"/>
  <c r="H79" i="4"/>
  <c r="F30" i="4"/>
  <c r="G98" i="4"/>
  <c r="H98" i="4"/>
  <c r="G58" i="4"/>
  <c r="H58" i="4"/>
  <c r="G6" i="4"/>
  <c r="H6" i="4"/>
  <c r="E5" i="4"/>
  <c r="F5" i="4" s="1"/>
  <c r="E85" i="4"/>
  <c r="D45" i="4"/>
  <c r="F45" i="4" l="1"/>
  <c r="G45" i="4"/>
  <c r="G85" i="4"/>
  <c r="H85" i="4"/>
  <c r="F85" i="4"/>
  <c r="D143" i="4"/>
  <c r="E143" i="4"/>
  <c r="H5" i="4"/>
  <c r="G5" i="4"/>
  <c r="G143" i="4" l="1"/>
  <c r="H143" i="4"/>
  <c r="F143" i="4"/>
  <c r="B102" i="4"/>
  <c r="B98" i="4" s="1"/>
  <c r="B143" i="4" s="1"/>
</calcChain>
</file>

<file path=xl/sharedStrings.xml><?xml version="1.0" encoding="utf-8"?>
<sst xmlns="http://schemas.openxmlformats.org/spreadsheetml/2006/main" count="147" uniqueCount="71">
  <si>
    <t>Исполнено, руб.</t>
  </si>
  <si>
    <t>% испол. кассового плана</t>
  </si>
  <si>
    <t>Подпрограмма "Профилактика правонарушений"</t>
  </si>
  <si>
    <t>Департамент жилищно-коммунального хозяйства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</si>
  <si>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</si>
  <si>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"Организация бюджетного процесса в городе Нефтеюганске"</t>
  </si>
  <si>
    <t>Департамент финансов администрации города Нефтеюганска</t>
  </si>
  <si>
    <t>Подпрограмма "Совершенствование муниципального управления"</t>
  </si>
  <si>
    <t>Подпрограмма "Развитие малого  и среднего предпринимательства"</t>
  </si>
  <si>
    <t>Подпрограмма "Обеспечение первичных мер пожарной безопасности в городе Нефтеюганске"</t>
  </si>
  <si>
    <t>Подпрограмма "Транспорт"</t>
  </si>
  <si>
    <t>Подпрограмма "Автомобильные дороги"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</si>
  <si>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</si>
  <si>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</si>
  <si>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</si>
  <si>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Подпрограмма "Обеспечение реализации муниципальной программы"</t>
  </si>
  <si>
    <t>Итого по муниципальным программам</t>
  </si>
  <si>
    <t>% испол. бюджетн. росписи</t>
  </si>
  <si>
    <t>Администрация города Нефтеюганска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</si>
  <si>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</si>
  <si>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"Исполнение отдельных государственных полномочий"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</si>
  <si>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</si>
  <si>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Департамент образования и молодёжной политики администрации города Нефтеюганска</t>
  </si>
  <si>
    <t>Подпрограмма "Молодёжь Нефтеюганска"</t>
  </si>
  <si>
    <t>Департамент градостроительства и земельных отношений администрации города Нефтеюганска</t>
  </si>
  <si>
    <t>Комитет культуры и туризма администрации города Нефтеюганска</t>
  </si>
  <si>
    <t>Департамент муниципального имущества администрации города Нефтеюганска</t>
  </si>
  <si>
    <t>Подпрограмма "Формирование комфортной городской среды"</t>
  </si>
  <si>
    <t>Муниципальная программа города Нефтеюганска "Развитие образования и молодёжной политики в городе Нефтеюганске"</t>
  </si>
  <si>
    <t>Муниципальная программа города Нефтеюганска "Дополнительные меры социальной поддержки отдельных категорий граждан города Нефтеюганска"</t>
  </si>
  <si>
    <t>Муниципальная программа города Нефтеюганска "Доступная среда в городе Нефтеюганске"</t>
  </si>
  <si>
    <t>Муниципальная программа города Нефтеюганска "Развитие физической культуры и спорта в городе Нефтеюганске"</t>
  </si>
  <si>
    <t>Муниципальная программа города Нефтеюганска "Развитие жилищной сферы города Нефтеюганска"</t>
  </si>
  <si>
    <t>Муниципальная программа города Нефтеюганска «Социально-экономическое развитие города Нефтеюганска»</t>
  </si>
  <si>
    <t>Муниципальная программа города Нефтеюганска «Развитие транспортной системы в городе Нефтеюганске»</t>
  </si>
  <si>
    <t>Муниципальная программа  "Управление муниципальными финансами города Нефтеюганска"</t>
  </si>
  <si>
    <t>Муниципальная программа города Нефтеюганска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</si>
  <si>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</si>
  <si>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Муниципальная программа города Нефтеюганска "Поддержка социально ориентированных некоммерческих организаций, осуществляющих деятельность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</si>
  <si>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</si>
  <si>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</si>
  <si>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Подпрограмма "Отдых и оздоровление детей в каникулярное время"</t>
  </si>
  <si>
    <t>Подпрограмма "Формирование законопослушного поведения участников дорожного движения"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</si>
  <si>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</si>
  <si>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</si>
  <si>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</si>
  <si>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</si>
  <si>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</si>
  <si>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</si>
  <si>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фонда"</t>
  </si>
  <si>
    <t xml:space="preserve">Подпрограмма "Обеспечение мерами государственной поддержки по улучшению жилищных условий отдельных категорий граждан" </t>
  </si>
  <si>
    <t xml:space="preserve">Муниципальная программа города Нефтеюганска «Развитие жилищно-коммунального комплекса и повышение энергетической эффективности в городе Нефтеюганске» 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</si>
  <si>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</si>
  <si>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"Безопасность дорожного движения"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</si>
  <si>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</si>
  <si>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 xml:space="preserve">Муниципальная программа города Нефтеюганска "Защита населения и территории от чрезвычайных ситуаций, обеспечение первичных мер пожарной безопасности в городе Нефтеюганске"
</t>
  </si>
  <si>
    <t>Подпрограмма "Развитие системы массовой физической культуры, подготовки спортивного резерва и спорта высших достижений"</t>
  </si>
  <si>
    <t>Муниципальная программа "Развитие культуры и туризма в городе Нефтеюганске"</t>
  </si>
  <si>
    <t>Подпрограмма "Ресурсное обеспечение в сфере образования и молодёжной политики"</t>
  </si>
  <si>
    <t>Подпрограмма "Модернизация и развитие учреждений культуры и организация обустройства мест массового отдыха населения"</t>
  </si>
  <si>
    <t xml:space="preserve">Муниципальная  программа «Профилактика правонарушений в сфере общественного  порядка, профилактика незаконного оборота и потребления наркотических средств и психотропных веществ в городе Нефтеюганске»
</t>
  </si>
  <si>
    <t>Подпрограмма "Профилактика незаконного оборота потребления наркотических средств и психотропных веществ"</t>
  </si>
  <si>
    <t>Подпрограмма "Управление муниципальным долгом города Нефтеюганска"</t>
  </si>
  <si>
    <t>Муниципальная программа "Профилактика терроризма в городе Нефтеюганске"</t>
  </si>
  <si>
    <t>Первоначальный план на 2021 год, руб.</t>
  </si>
  <si>
    <t>Бюджетная роспись                          на 2021 год, руб.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</si>
  <si>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мигрантов, профилактика межнациональных (межэтнических), межконфессиональных конфликтов"</t>
  </si>
  <si>
    <t>Дума города Нефтеюганска</t>
  </si>
  <si>
    <t>4.  Исполнение по муниципальным программам за 9 месяцев 2021 года</t>
  </si>
  <si>
    <t>Кассовый план за 9 месяцев, руб.</t>
  </si>
  <si>
    <t>Отклонение (гр.4-гр.5),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</si>
</sst>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(* #,##0.00_);_(* \-#,##0.00;_(* &quot;&quot;??_);_(@_)"/>
    <numFmt numFmtId="166" formatCode="#,##0.00_р_."/>
    <numFmt numFmtId="167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3" fillId="0" borderId="0"/>
    <xf numFmtId="0" fontId="2" fillId="0" borderId="0"/>
  </cellStyleXfs>
  <cellXfs count="34">
    <xf numFmtId="0" fontId="0" fillId="0" borderId="0" xfId="0"/>
    <xf numFmtId="0" fontId="0" fillId="2" borderId="0" xfId="0" applyFont="1" applyFill="1"/>
    <xf numFmtId="0" fontId="1" fillId="2" borderId="1" xfId="0" applyFont="1" applyFill="1" applyBorder="1" applyAlignment="1">
      <alignment vertical="center" wrapText="1"/>
    </xf>
    <xf numFmtId="0" fontId="6" fillId="2" borderId="0" xfId="0" applyFont="1" applyFill="1"/>
    <xf numFmtId="0" fontId="1" fillId="2" borderId="1" xfId="0" applyFont="1" applyFill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165" fontId="1" fillId="2" borderId="1" xfId="4" applyNumberFormat="1" applyFont="1" applyFill="1" applyBorder="1" applyAlignment="1">
      <alignment horizontal="center" vertical="center" wrapText="1"/>
    </xf>
    <xf numFmtId="164" fontId="1" fillId="2" borderId="1" xfId="3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1" fillId="2" borderId="1" xfId="4" applyNumberFormat="1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 wrapText="1"/>
    </xf>
    <xf numFmtId="2" fontId="0" fillId="2" borderId="0" xfId="0" applyNumberFormat="1" applyFont="1" applyFill="1"/>
    <xf numFmtId="4" fontId="0" fillId="2" borderId="0" xfId="0" applyNumberFormat="1" applyFont="1" applyFill="1"/>
    <xf numFmtId="0" fontId="7" fillId="2" borderId="1" xfId="0" applyFont="1" applyFill="1" applyBorder="1" applyAlignment="1">
      <alignment vertical="center" wrapText="1"/>
    </xf>
    <xf numFmtId="0" fontId="8" fillId="2" borderId="0" xfId="0" applyFont="1" applyFill="1"/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center" wrapText="1"/>
    </xf>
    <xf numFmtId="0" fontId="11" fillId="2" borderId="0" xfId="0" applyFont="1" applyFill="1"/>
    <xf numFmtId="4" fontId="1" fillId="2" borderId="1" xfId="3" applyNumberFormat="1" applyFont="1" applyFill="1" applyBorder="1" applyAlignment="1">
      <alignment horizontal="center"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vertical="center" wrapText="1"/>
    </xf>
    <xf numFmtId="39" fontId="9" fillId="2" borderId="1" xfId="0" applyNumberFormat="1" applyFont="1" applyFill="1" applyBorder="1" applyAlignment="1">
      <alignment vertical="center" wrapText="1"/>
    </xf>
    <xf numFmtId="39" fontId="7" fillId="2" borderId="1" xfId="0" applyNumberFormat="1" applyFont="1" applyFill="1" applyBorder="1" applyAlignment="1">
      <alignment vertical="center" wrapText="1"/>
    </xf>
    <xf numFmtId="39" fontId="1" fillId="2" borderId="1" xfId="0" applyNumberFormat="1" applyFont="1" applyFill="1" applyBorder="1" applyAlignment="1">
      <alignment vertical="center" wrapText="1"/>
    </xf>
    <xf numFmtId="3" fontId="7" fillId="2" borderId="1" xfId="0" applyNumberFormat="1" applyFont="1" applyFill="1" applyBorder="1" applyAlignment="1">
      <alignment vertical="center" wrapText="1"/>
    </xf>
    <xf numFmtId="167" fontId="9" fillId="2" borderId="1" xfId="0" applyNumberFormat="1" applyFont="1" applyFill="1" applyBorder="1" applyAlignment="1">
      <alignment vertical="center" wrapText="1"/>
    </xf>
    <xf numFmtId="166" fontId="9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4" fillId="2" borderId="0" xfId="2" applyNumberFormat="1" applyFont="1" applyFill="1" applyAlignment="1" applyProtection="1">
      <alignment horizontal="center" vertical="center" wrapText="1"/>
    </xf>
    <xf numFmtId="0" fontId="4" fillId="2" borderId="0" xfId="2" applyNumberFormat="1" applyFont="1" applyFill="1" applyAlignment="1" applyProtection="1">
      <alignment horizontal="center" vertical="center" wrapText="1"/>
    </xf>
  </cellXfs>
  <cellStyles count="5">
    <cellStyle name="Обычный" xfId="0" builtinId="0"/>
    <cellStyle name="Обычный 2" xfId="1"/>
    <cellStyle name="Обычный_Tmp8" xfId="2"/>
    <cellStyle name="Обычный_приложения 10" xfId="3"/>
    <cellStyle name="Обычный_расходы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3200400</xdr:colOff>
      <xdr:row>1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3200400" y="2000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7"/>
  <sheetViews>
    <sheetView tabSelected="1" zoomScale="120" zoomScaleNormal="120" workbookViewId="0">
      <pane xSplit="1" ySplit="3" topLeftCell="B4" activePane="bottomRight" state="frozen"/>
      <selection pane="topRight" activeCell="C1" sqref="C1"/>
      <selection pane="bottomLeft" activeCell="A4" sqref="A4"/>
      <selection pane="bottomRight" activeCell="A4" sqref="A4"/>
    </sheetView>
  </sheetViews>
  <sheetFormatPr defaultColWidth="9.140625" defaultRowHeight="15" x14ac:dyDescent="0.25"/>
  <cols>
    <col min="1" max="1" width="72.28515625" style="1" customWidth="1"/>
    <col min="2" max="2" width="18" style="1" customWidth="1"/>
    <col min="3" max="3" width="19.5703125" style="1" customWidth="1"/>
    <col min="4" max="4" width="17.5703125" style="1" customWidth="1"/>
    <col min="5" max="5" width="17.42578125" style="1" customWidth="1"/>
    <col min="6" max="6" width="16.42578125" style="1" customWidth="1"/>
    <col min="7" max="7" width="10.85546875" style="1" customWidth="1"/>
    <col min="8" max="8" width="9.140625" style="1" customWidth="1"/>
    <col min="9" max="16384" width="9.140625" style="1"/>
  </cols>
  <sheetData>
    <row r="1" spans="1:8" ht="15.75" x14ac:dyDescent="0.25">
      <c r="A1" s="33" t="s">
        <v>68</v>
      </c>
      <c r="B1" s="33"/>
      <c r="C1" s="33"/>
      <c r="D1" s="33"/>
      <c r="E1" s="33"/>
      <c r="F1" s="33"/>
      <c r="G1" s="33"/>
    </row>
    <row r="2" spans="1:8" ht="15.75" x14ac:dyDescent="0.25">
      <c r="A2" s="20"/>
      <c r="B2" s="20"/>
      <c r="C2" s="20"/>
      <c r="D2" s="32"/>
      <c r="E2" s="32"/>
      <c r="F2" s="20"/>
      <c r="G2" s="20"/>
      <c r="H2" s="20"/>
    </row>
    <row r="3" spans="1:8" ht="38.25" x14ac:dyDescent="0.25">
      <c r="A3" s="5"/>
      <c r="B3" s="6" t="s">
        <v>64</v>
      </c>
      <c r="C3" s="6" t="s">
        <v>65</v>
      </c>
      <c r="D3" s="6" t="s">
        <v>69</v>
      </c>
      <c r="E3" s="19" t="s">
        <v>0</v>
      </c>
      <c r="F3" s="7" t="s">
        <v>70</v>
      </c>
      <c r="G3" s="8" t="s">
        <v>1</v>
      </c>
      <c r="H3" s="8" t="s">
        <v>17</v>
      </c>
    </row>
    <row r="4" spans="1:8" x14ac:dyDescent="0.25">
      <c r="A4" s="9">
        <v>1</v>
      </c>
      <c r="B4" s="10">
        <v>2</v>
      </c>
      <c r="C4" s="10">
        <v>3</v>
      </c>
      <c r="D4" s="10">
        <v>4</v>
      </c>
      <c r="E4" s="10">
        <v>5</v>
      </c>
      <c r="F4" s="10">
        <v>6</v>
      </c>
      <c r="G4" s="10">
        <v>7</v>
      </c>
      <c r="H4" s="10">
        <v>8</v>
      </c>
    </row>
    <row r="5" spans="1:8" s="3" customFormat="1" ht="28.5" customHeight="1" x14ac:dyDescent="0.25">
      <c r="A5" s="21" t="s">
        <v>28</v>
      </c>
      <c r="B5" s="24">
        <f>B6+B10+B12+B14+B16+B19</f>
        <v>4725729571</v>
      </c>
      <c r="C5" s="24">
        <f>C6+C10+C12+C14+C16+C19</f>
        <v>4725320507</v>
      </c>
      <c r="D5" s="24">
        <f>D6+D10+D12+D14+D16+D19</f>
        <v>3536248834</v>
      </c>
      <c r="E5" s="24">
        <f>E6+E10+E12+E14+E16+E19</f>
        <v>3034781303.71</v>
      </c>
      <c r="F5" s="24">
        <f>D5-E5</f>
        <v>501467530.28999996</v>
      </c>
      <c r="G5" s="29">
        <f>(E5/D5)*100</f>
        <v>85.819223877331936</v>
      </c>
      <c r="H5" s="29">
        <f>(E5/C5)*100</f>
        <v>64.223819298909618</v>
      </c>
    </row>
    <row r="6" spans="1:8" s="15" customFormat="1" x14ac:dyDescent="0.25">
      <c r="A6" s="14" t="s">
        <v>39</v>
      </c>
      <c r="B6" s="25">
        <f t="shared" ref="B6:D6" si="0">SUM(B7:B9)</f>
        <v>4465263510</v>
      </c>
      <c r="C6" s="25">
        <f t="shared" ref="C6" si="1">SUM(C7:C9)</f>
        <v>4454910327</v>
      </c>
      <c r="D6" s="25">
        <f t="shared" si="0"/>
        <v>3331528805</v>
      </c>
      <c r="E6" s="25">
        <f>SUM(E7:E9)</f>
        <v>2882097230.52</v>
      </c>
      <c r="F6" s="26">
        <f t="shared" ref="F6:F69" si="2">D6-E6</f>
        <v>449431574.48000002</v>
      </c>
      <c r="G6" s="31">
        <f t="shared" ref="G6" si="3">(E6/D6)*100</f>
        <v>86.5097497039351</v>
      </c>
      <c r="H6" s="31">
        <f t="shared" ref="H6" si="4">(E6/C6)*100</f>
        <v>64.694842745821219</v>
      </c>
    </row>
    <row r="7" spans="1:8" ht="25.5" customHeight="1" x14ac:dyDescent="0.25">
      <c r="A7" s="2" t="s">
        <v>22</v>
      </c>
      <c r="B7" s="26">
        <v>4250796610</v>
      </c>
      <c r="C7" s="26">
        <v>4258424442</v>
      </c>
      <c r="D7" s="26">
        <f>522106293+453158+31112000+470000+120775668+68467017+721545000+133409761+1496330400+16177000+1629900+2898750+24325281+77289794+69268300+1891346</f>
        <v>3288149668</v>
      </c>
      <c r="E7" s="26">
        <f>411213081.08+160600+30428000+199392+86434315.33+54126600.32+611913223.44+132588302+1391640830.44+16163845.06+1526512.48+1515539.45+20522623.51+60085985.04+47420254+657279</f>
        <v>2866596383.1500001</v>
      </c>
      <c r="F7" s="26">
        <f t="shared" si="2"/>
        <v>421553284.8499999</v>
      </c>
      <c r="G7" s="30">
        <f>(E7/D7)*100</f>
        <v>87.179619925682772</v>
      </c>
      <c r="H7" s="30">
        <f>(E7/C7)*100</f>
        <v>67.315891644743658</v>
      </c>
    </row>
    <row r="8" spans="1:8" ht="25.5" x14ac:dyDescent="0.25">
      <c r="A8" s="2" t="s">
        <v>24</v>
      </c>
      <c r="B8" s="26">
        <v>214466900</v>
      </c>
      <c r="C8" s="26">
        <f>185282446+7578296</f>
        <v>192860742</v>
      </c>
      <c r="D8" s="26">
        <f>12014450+27739544</f>
        <v>39753994</v>
      </c>
      <c r="E8" s="26">
        <f>5795040.96+9705806.41</f>
        <v>15500847.370000001</v>
      </c>
      <c r="F8" s="26">
        <f t="shared" si="2"/>
        <v>24253146.629999999</v>
      </c>
      <c r="G8" s="30">
        <f t="shared" ref="G8:G71" si="5">(E8/D8)*100</f>
        <v>38.991924610141062</v>
      </c>
      <c r="H8" s="30">
        <f t="shared" ref="H8:H71" si="6">(E8/C8)*100</f>
        <v>8.0373264197023584</v>
      </c>
    </row>
    <row r="9" spans="1:8" ht="15.75" customHeight="1" x14ac:dyDescent="0.25">
      <c r="A9" s="2" t="s">
        <v>3</v>
      </c>
      <c r="B9" s="26">
        <v>0</v>
      </c>
      <c r="C9" s="26">
        <v>3625143</v>
      </c>
      <c r="D9" s="26">
        <v>3625143</v>
      </c>
      <c r="E9" s="26">
        <v>0</v>
      </c>
      <c r="F9" s="26">
        <f t="shared" si="2"/>
        <v>3625143</v>
      </c>
      <c r="G9" s="30">
        <f t="shared" si="5"/>
        <v>0</v>
      </c>
      <c r="H9" s="30">
        <f t="shared" si="6"/>
        <v>0</v>
      </c>
    </row>
    <row r="10" spans="1:8" s="15" customFormat="1" ht="27" x14ac:dyDescent="0.25">
      <c r="A10" s="14" t="s">
        <v>40</v>
      </c>
      <c r="B10" s="25">
        <f t="shared" ref="B10:D10" si="7">B11</f>
        <v>2272200</v>
      </c>
      <c r="C10" s="25">
        <f t="shared" si="7"/>
        <v>3255082</v>
      </c>
      <c r="D10" s="25">
        <f t="shared" si="7"/>
        <v>3255082</v>
      </c>
      <c r="E10" s="25">
        <f>E11</f>
        <v>3190034.28</v>
      </c>
      <c r="F10" s="25">
        <f t="shared" si="2"/>
        <v>65047.720000000205</v>
      </c>
      <c r="G10" s="31">
        <f t="shared" si="5"/>
        <v>98.00165648668758</v>
      </c>
      <c r="H10" s="31">
        <f t="shared" si="6"/>
        <v>98.00165648668758</v>
      </c>
    </row>
    <row r="11" spans="1:8" ht="22.5" customHeight="1" x14ac:dyDescent="0.25">
      <c r="A11" s="2" t="s">
        <v>22</v>
      </c>
      <c r="B11" s="26">
        <v>2272200</v>
      </c>
      <c r="C11" s="26">
        <v>3255082</v>
      </c>
      <c r="D11" s="26">
        <v>3255082</v>
      </c>
      <c r="E11" s="26">
        <v>3190034.28</v>
      </c>
      <c r="F11" s="26">
        <f t="shared" si="2"/>
        <v>65047.720000000205</v>
      </c>
      <c r="G11" s="30">
        <f t="shared" si="5"/>
        <v>98.00165648668758</v>
      </c>
      <c r="H11" s="30">
        <f t="shared" si="6"/>
        <v>98.00165648668758</v>
      </c>
    </row>
    <row r="12" spans="1:8" s="15" customFormat="1" x14ac:dyDescent="0.25">
      <c r="A12" s="14" t="s">
        <v>41</v>
      </c>
      <c r="B12" s="25">
        <f t="shared" ref="B12:D12" si="8">B13</f>
        <v>66515761</v>
      </c>
      <c r="C12" s="25">
        <f t="shared" si="8"/>
        <v>65656611</v>
      </c>
      <c r="D12" s="25">
        <f t="shared" si="8"/>
        <v>44015266</v>
      </c>
      <c r="E12" s="25">
        <f>E13</f>
        <v>14291954.49</v>
      </c>
      <c r="F12" s="25">
        <f t="shared" si="2"/>
        <v>29723311.509999998</v>
      </c>
      <c r="G12" s="31">
        <f t="shared" si="5"/>
        <v>32.470448980133391</v>
      </c>
      <c r="H12" s="31">
        <f t="shared" si="6"/>
        <v>21.767731036254673</v>
      </c>
    </row>
    <row r="13" spans="1:8" ht="26.25" customHeight="1" x14ac:dyDescent="0.25">
      <c r="A13" s="2" t="s">
        <v>22</v>
      </c>
      <c r="B13" s="26">
        <v>66515761</v>
      </c>
      <c r="C13" s="26">
        <v>65656611</v>
      </c>
      <c r="D13" s="26">
        <v>44015266</v>
      </c>
      <c r="E13" s="26">
        <v>14291954.49</v>
      </c>
      <c r="F13" s="26">
        <f t="shared" si="2"/>
        <v>29723311.509999998</v>
      </c>
      <c r="G13" s="30">
        <f t="shared" si="5"/>
        <v>32.470448980133391</v>
      </c>
      <c r="H13" s="30">
        <f t="shared" si="6"/>
        <v>21.767731036254673</v>
      </c>
    </row>
    <row r="14" spans="1:8" s="15" customFormat="1" x14ac:dyDescent="0.25">
      <c r="A14" s="14" t="s">
        <v>23</v>
      </c>
      <c r="B14" s="25">
        <f t="shared" ref="B14:D14" si="9">B15</f>
        <v>63309800</v>
      </c>
      <c r="C14" s="25">
        <f t="shared" si="9"/>
        <v>66284600</v>
      </c>
      <c r="D14" s="25">
        <f t="shared" si="9"/>
        <v>53345853</v>
      </c>
      <c r="E14" s="25">
        <f>E15</f>
        <v>43486855.270000003</v>
      </c>
      <c r="F14" s="25">
        <f t="shared" si="2"/>
        <v>9858997.7299999967</v>
      </c>
      <c r="G14" s="31">
        <f t="shared" si="5"/>
        <v>81.518717621780283</v>
      </c>
      <c r="H14" s="31">
        <f t="shared" si="6"/>
        <v>65.606272452424847</v>
      </c>
    </row>
    <row r="15" spans="1:8" ht="22.5" customHeight="1" x14ac:dyDescent="0.25">
      <c r="A15" s="2" t="s">
        <v>22</v>
      </c>
      <c r="B15" s="26">
        <v>63309800</v>
      </c>
      <c r="C15" s="26">
        <v>66284600</v>
      </c>
      <c r="D15" s="26">
        <v>53345853</v>
      </c>
      <c r="E15" s="26">
        <v>43486855.270000003</v>
      </c>
      <c r="F15" s="26">
        <f t="shared" si="2"/>
        <v>9858997.7299999967</v>
      </c>
      <c r="G15" s="30">
        <f t="shared" si="5"/>
        <v>81.518717621780283</v>
      </c>
      <c r="H15" s="30">
        <f t="shared" si="6"/>
        <v>65.606272452424847</v>
      </c>
    </row>
    <row r="16" spans="1:8" s="15" customFormat="1" ht="27" x14ac:dyDescent="0.25">
      <c r="A16" s="14" t="s">
        <v>58</v>
      </c>
      <c r="B16" s="25">
        <f t="shared" ref="B16:D16" si="10">SUM(B17)</f>
        <v>128309300</v>
      </c>
      <c r="C16" s="25">
        <f>SUM(C17:C18)</f>
        <v>135154887</v>
      </c>
      <c r="D16" s="25">
        <f t="shared" si="10"/>
        <v>104044828</v>
      </c>
      <c r="E16" s="25">
        <f>SUM(E17)</f>
        <v>91656229.150000006</v>
      </c>
      <c r="F16" s="24">
        <f t="shared" si="2"/>
        <v>12388598.849999994</v>
      </c>
      <c r="G16" s="31">
        <f t="shared" si="5"/>
        <v>88.09301808831863</v>
      </c>
      <c r="H16" s="31">
        <f t="shared" si="6"/>
        <v>67.815697370972615</v>
      </c>
    </row>
    <row r="17" spans="1:8" ht="23.25" customHeight="1" x14ac:dyDescent="0.25">
      <c r="A17" s="2" t="s">
        <v>22</v>
      </c>
      <c r="B17" s="26">
        <v>128309300</v>
      </c>
      <c r="C17" s="26">
        <v>128874500</v>
      </c>
      <c r="D17" s="26">
        <v>104044828</v>
      </c>
      <c r="E17" s="26">
        <v>91656229.150000006</v>
      </c>
      <c r="F17" s="26">
        <f t="shared" si="2"/>
        <v>12388598.849999994</v>
      </c>
      <c r="G17" s="30">
        <f t="shared" si="5"/>
        <v>88.09301808831863</v>
      </c>
      <c r="H17" s="30">
        <f t="shared" si="6"/>
        <v>71.120531330868403</v>
      </c>
    </row>
    <row r="18" spans="1:8" ht="26.25" customHeight="1" x14ac:dyDescent="0.25">
      <c r="A18" s="2" t="s">
        <v>24</v>
      </c>
      <c r="B18" s="26">
        <v>0</v>
      </c>
      <c r="C18" s="26">
        <v>6280387</v>
      </c>
      <c r="D18" s="26">
        <v>0</v>
      </c>
      <c r="E18" s="26">
        <v>0</v>
      </c>
      <c r="F18" s="26">
        <f t="shared" si="2"/>
        <v>0</v>
      </c>
      <c r="G18" s="30">
        <v>0</v>
      </c>
      <c r="H18" s="30">
        <f t="shared" si="6"/>
        <v>0</v>
      </c>
    </row>
    <row r="19" spans="1:8" s="15" customFormat="1" ht="24.75" customHeight="1" x14ac:dyDescent="0.25">
      <c r="A19" s="14" t="s">
        <v>42</v>
      </c>
      <c r="B19" s="25">
        <f>B20</f>
        <v>59000</v>
      </c>
      <c r="C19" s="25">
        <f>C20</f>
        <v>59000</v>
      </c>
      <c r="D19" s="25">
        <f t="shared" ref="D19:E19" si="11">D20</f>
        <v>59000</v>
      </c>
      <c r="E19" s="25">
        <f t="shared" si="11"/>
        <v>59000</v>
      </c>
      <c r="F19" s="25">
        <f t="shared" si="2"/>
        <v>0</v>
      </c>
      <c r="G19" s="31">
        <f t="shared" si="5"/>
        <v>100</v>
      </c>
      <c r="H19" s="31">
        <f t="shared" si="6"/>
        <v>100</v>
      </c>
    </row>
    <row r="20" spans="1:8" ht="24.75" customHeight="1" x14ac:dyDescent="0.25">
      <c r="A20" s="2" t="s">
        <v>22</v>
      </c>
      <c r="B20" s="26">
        <v>59000</v>
      </c>
      <c r="C20" s="26">
        <v>59000</v>
      </c>
      <c r="D20" s="26">
        <v>59000</v>
      </c>
      <c r="E20" s="26">
        <v>59000</v>
      </c>
      <c r="F20" s="26">
        <f t="shared" si="2"/>
        <v>0</v>
      </c>
      <c r="G20" s="30">
        <f t="shared" si="5"/>
        <v>100</v>
      </c>
      <c r="H20" s="30">
        <f t="shared" si="6"/>
        <v>100</v>
      </c>
    </row>
    <row r="21" spans="1:8" s="3" customFormat="1" ht="25.5" x14ac:dyDescent="0.25">
      <c r="A21" s="21" t="s">
        <v>29</v>
      </c>
      <c r="B21" s="24">
        <f>B25+B22</f>
        <v>102895100</v>
      </c>
      <c r="C21" s="24">
        <f>C25+C22</f>
        <v>250427607</v>
      </c>
      <c r="D21" s="24">
        <f t="shared" ref="D21:E21" si="12">D25+D22</f>
        <v>52416385</v>
      </c>
      <c r="E21" s="24">
        <f t="shared" si="12"/>
        <v>39131894.219999999</v>
      </c>
      <c r="F21" s="24">
        <f t="shared" si="2"/>
        <v>13284490.780000001</v>
      </c>
      <c r="G21" s="29">
        <f t="shared" si="5"/>
        <v>74.655843244435871</v>
      </c>
      <c r="H21" s="29">
        <f t="shared" si="6"/>
        <v>15.6260304879246</v>
      </c>
    </row>
    <row r="22" spans="1:8" s="15" customFormat="1" ht="27" x14ac:dyDescent="0.25">
      <c r="A22" s="14" t="s">
        <v>43</v>
      </c>
      <c r="B22" s="25">
        <f>B24+B23</f>
        <v>64418100</v>
      </c>
      <c r="C22" s="25">
        <f>C24+C23</f>
        <v>211378352</v>
      </c>
      <c r="D22" s="25">
        <f t="shared" ref="D22:E22" si="13">D24+D23</f>
        <v>23136336</v>
      </c>
      <c r="E22" s="25">
        <f t="shared" si="13"/>
        <v>13276875.949999999</v>
      </c>
      <c r="F22" s="25">
        <f t="shared" si="2"/>
        <v>9859460.0500000007</v>
      </c>
      <c r="G22" s="31">
        <f t="shared" si="5"/>
        <v>57.385386994725515</v>
      </c>
      <c r="H22" s="31">
        <f t="shared" si="6"/>
        <v>6.2810954028064332</v>
      </c>
    </row>
    <row r="23" spans="1:8" x14ac:dyDescent="0.25">
      <c r="A23" s="2" t="s">
        <v>18</v>
      </c>
      <c r="B23" s="26">
        <v>22742800</v>
      </c>
      <c r="C23" s="26">
        <v>22742800</v>
      </c>
      <c r="D23" s="26">
        <v>16075800</v>
      </c>
      <c r="E23" s="26">
        <v>13276875.949999999</v>
      </c>
      <c r="F23" s="26">
        <f t="shared" si="2"/>
        <v>2798924.0500000007</v>
      </c>
      <c r="G23" s="30">
        <f t="shared" si="5"/>
        <v>82.5892083131166</v>
      </c>
      <c r="H23" s="30">
        <f t="shared" si="6"/>
        <v>58.378370077563005</v>
      </c>
    </row>
    <row r="24" spans="1:8" x14ac:dyDescent="0.25">
      <c r="A24" s="2" t="s">
        <v>26</v>
      </c>
      <c r="B24" s="26">
        <v>41675300</v>
      </c>
      <c r="C24" s="26">
        <v>188635552</v>
      </c>
      <c r="D24" s="26">
        <v>7060536</v>
      </c>
      <c r="E24" s="26">
        <v>0</v>
      </c>
      <c r="F24" s="26">
        <f t="shared" si="2"/>
        <v>7060536</v>
      </c>
      <c r="G24" s="30">
        <f t="shared" si="5"/>
        <v>0</v>
      </c>
      <c r="H24" s="30">
        <f t="shared" si="6"/>
        <v>0</v>
      </c>
    </row>
    <row r="25" spans="1:8" s="15" customFormat="1" ht="27" x14ac:dyDescent="0.25">
      <c r="A25" s="14" t="s">
        <v>44</v>
      </c>
      <c r="B25" s="25">
        <f>B26</f>
        <v>38477000</v>
      </c>
      <c r="C25" s="25">
        <f>C26</f>
        <v>39049255</v>
      </c>
      <c r="D25" s="25">
        <f>SUM(D26:D26)</f>
        <v>29280049</v>
      </c>
      <c r="E25" s="25">
        <f>SUM(E26:E26)</f>
        <v>25855018.27</v>
      </c>
      <c r="F25" s="24">
        <f t="shared" si="2"/>
        <v>3425030.7300000004</v>
      </c>
      <c r="G25" s="31">
        <f t="shared" si="5"/>
        <v>88.302510251946643</v>
      </c>
      <c r="H25" s="31">
        <f t="shared" si="6"/>
        <v>66.211297168153393</v>
      </c>
    </row>
    <row r="26" spans="1:8" x14ac:dyDescent="0.25">
      <c r="A26" s="2" t="s">
        <v>18</v>
      </c>
      <c r="B26" s="26">
        <v>38477000</v>
      </c>
      <c r="C26" s="26">
        <v>39049255</v>
      </c>
      <c r="D26" s="26">
        <v>29280049</v>
      </c>
      <c r="E26" s="26">
        <v>25855018.27</v>
      </c>
      <c r="F26" s="26">
        <f t="shared" si="2"/>
        <v>3425030.7300000004</v>
      </c>
      <c r="G26" s="30">
        <f t="shared" si="5"/>
        <v>88.302510251946643</v>
      </c>
      <c r="H26" s="30">
        <f t="shared" si="6"/>
        <v>66.211297168153393</v>
      </c>
    </row>
    <row r="27" spans="1:8" s="3" customFormat="1" ht="25.5" customHeight="1" x14ac:dyDescent="0.25">
      <c r="A27" s="22" t="s">
        <v>30</v>
      </c>
      <c r="B27" s="24">
        <f>SUM(B28:B28)</f>
        <v>771000</v>
      </c>
      <c r="C27" s="24">
        <f>SUM(C28:C29)</f>
        <v>2303680</v>
      </c>
      <c r="D27" s="24">
        <f>SUM(D28:D29)</f>
        <v>2136946</v>
      </c>
      <c r="E27" s="24">
        <f>SUM(E28:E29)</f>
        <v>1056710.52</v>
      </c>
      <c r="F27" s="24">
        <f t="shared" si="2"/>
        <v>1080235.48</v>
      </c>
      <c r="G27" s="29">
        <f t="shared" si="5"/>
        <v>49.449565875787222</v>
      </c>
      <c r="H27" s="29">
        <f t="shared" si="6"/>
        <v>45.870542783719962</v>
      </c>
    </row>
    <row r="28" spans="1:8" ht="15.75" customHeight="1" x14ac:dyDescent="0.25">
      <c r="A28" s="4" t="s">
        <v>22</v>
      </c>
      <c r="B28" s="26">
        <v>771000</v>
      </c>
      <c r="C28" s="26">
        <v>771000</v>
      </c>
      <c r="D28" s="26">
        <v>771000</v>
      </c>
      <c r="E28" s="26">
        <v>771000</v>
      </c>
      <c r="F28" s="26">
        <f t="shared" si="2"/>
        <v>0</v>
      </c>
      <c r="G28" s="30">
        <f t="shared" si="5"/>
        <v>100</v>
      </c>
      <c r="H28" s="30">
        <f t="shared" si="6"/>
        <v>100</v>
      </c>
    </row>
    <row r="29" spans="1:8" ht="16.5" customHeight="1" x14ac:dyDescent="0.25">
      <c r="A29" s="2" t="s">
        <v>3</v>
      </c>
      <c r="B29" s="26">
        <v>0</v>
      </c>
      <c r="C29" s="26">
        <v>1532680</v>
      </c>
      <c r="D29" s="26">
        <v>1365946</v>
      </c>
      <c r="E29" s="26">
        <v>285710.52</v>
      </c>
      <c r="F29" s="26">
        <f t="shared" si="2"/>
        <v>1080235.48</v>
      </c>
      <c r="G29" s="30">
        <f t="shared" si="5"/>
        <v>20.916677526051544</v>
      </c>
      <c r="H29" s="30">
        <f t="shared" si="6"/>
        <v>18.641237570791034</v>
      </c>
    </row>
    <row r="30" spans="1:8" s="3" customFormat="1" ht="23.25" customHeight="1" x14ac:dyDescent="0.25">
      <c r="A30" s="21" t="s">
        <v>57</v>
      </c>
      <c r="B30" s="24">
        <f>B31+B34</f>
        <v>693240842</v>
      </c>
      <c r="C30" s="24">
        <f>C31+C34</f>
        <v>729729843.5</v>
      </c>
      <c r="D30" s="24">
        <f>D31+D34</f>
        <v>545717395.5</v>
      </c>
      <c r="E30" s="24">
        <f>E31+E34</f>
        <v>470972172.30000001</v>
      </c>
      <c r="F30" s="24">
        <f t="shared" si="2"/>
        <v>74745223.199999988</v>
      </c>
      <c r="G30" s="29">
        <f t="shared" si="5"/>
        <v>86.303309402201393</v>
      </c>
      <c r="H30" s="29">
        <f t="shared" si="6"/>
        <v>64.540620956528002</v>
      </c>
    </row>
    <row r="31" spans="1:8" s="15" customFormat="1" ht="27" x14ac:dyDescent="0.25">
      <c r="A31" s="14" t="s">
        <v>59</v>
      </c>
      <c r="B31" s="25">
        <f>SUM(B32:B33)</f>
        <v>665454393</v>
      </c>
      <c r="C31" s="25">
        <f>SUM(C32:C33)</f>
        <v>701733164.5</v>
      </c>
      <c r="D31" s="25">
        <f>SUM(D32:D33)</f>
        <v>524894893.5</v>
      </c>
      <c r="E31" s="25">
        <f>SUM(E32:E33)</f>
        <v>452152045.68000001</v>
      </c>
      <c r="F31" s="25">
        <f t="shared" si="2"/>
        <v>72742847.819999993</v>
      </c>
      <c r="G31" s="31">
        <f t="shared" si="5"/>
        <v>86.141444940538364</v>
      </c>
      <c r="H31" s="31">
        <f t="shared" si="6"/>
        <v>64.433615019772944</v>
      </c>
    </row>
    <row r="32" spans="1:8" x14ac:dyDescent="0.25">
      <c r="A32" s="11" t="s">
        <v>25</v>
      </c>
      <c r="B32" s="26">
        <v>665454393</v>
      </c>
      <c r="C32" s="26">
        <v>696253695.5</v>
      </c>
      <c r="D32" s="26">
        <f>327175045+624825+963189+588078.94+110263+151681024+985424+1733137+35554438.56</f>
        <v>519415424.5</v>
      </c>
      <c r="E32" s="26">
        <f>289554140.77+624272.5+877550+110165.5+121802212.35+985416+803850+35554438.56</f>
        <v>450312045.68000001</v>
      </c>
      <c r="F32" s="26">
        <f t="shared" si="2"/>
        <v>69103378.819999993</v>
      </c>
      <c r="G32" s="30">
        <f t="shared" si="5"/>
        <v>86.695932473218264</v>
      </c>
      <c r="H32" s="30">
        <f t="shared" si="6"/>
        <v>64.676431678630848</v>
      </c>
    </row>
    <row r="33" spans="1:8" ht="25.5" x14ac:dyDescent="0.25">
      <c r="A33" s="2" t="s">
        <v>24</v>
      </c>
      <c r="B33" s="26">
        <v>0</v>
      </c>
      <c r="C33" s="26">
        <v>5479469</v>
      </c>
      <c r="D33" s="26">
        <f>3630877+1848592</f>
        <v>5479469</v>
      </c>
      <c r="E33" s="26">
        <v>1840000</v>
      </c>
      <c r="F33" s="26">
        <f t="shared" si="2"/>
        <v>3639469</v>
      </c>
      <c r="G33" s="30">
        <f t="shared" si="5"/>
        <v>33.579896154171138</v>
      </c>
      <c r="H33" s="30">
        <f t="shared" si="6"/>
        <v>33.579896154171138</v>
      </c>
    </row>
    <row r="34" spans="1:8" s="15" customFormat="1" ht="21.75" customHeight="1" x14ac:dyDescent="0.25">
      <c r="A34" s="14" t="s">
        <v>45</v>
      </c>
      <c r="B34" s="25">
        <f t="shared" ref="B34:D34" si="14">B35</f>
        <v>27786449</v>
      </c>
      <c r="C34" s="25">
        <f t="shared" si="14"/>
        <v>27996679</v>
      </c>
      <c r="D34" s="25">
        <f t="shared" si="14"/>
        <v>20822502</v>
      </c>
      <c r="E34" s="25">
        <f>E35</f>
        <v>18820126.620000001</v>
      </c>
      <c r="F34" s="25">
        <f t="shared" si="2"/>
        <v>2002375.379999999</v>
      </c>
      <c r="G34" s="31">
        <f t="shared" si="5"/>
        <v>90.383598570431161</v>
      </c>
      <c r="H34" s="31">
        <f t="shared" si="6"/>
        <v>67.222711022260896</v>
      </c>
    </row>
    <row r="35" spans="1:8" x14ac:dyDescent="0.25">
      <c r="A35" s="11" t="s">
        <v>25</v>
      </c>
      <c r="B35" s="26">
        <v>27786449</v>
      </c>
      <c r="C35" s="26">
        <v>27996679</v>
      </c>
      <c r="D35" s="26">
        <v>20822502</v>
      </c>
      <c r="E35" s="26">
        <v>18820126.620000001</v>
      </c>
      <c r="F35" s="26">
        <f t="shared" si="2"/>
        <v>2002375.379999999</v>
      </c>
      <c r="G35" s="30">
        <f t="shared" si="5"/>
        <v>90.383598570431161</v>
      </c>
      <c r="H35" s="30">
        <f t="shared" si="6"/>
        <v>67.222711022260896</v>
      </c>
    </row>
    <row r="36" spans="1:8" s="3" customFormat="1" ht="27.75" customHeight="1" x14ac:dyDescent="0.25">
      <c r="A36" s="21" t="s">
        <v>31</v>
      </c>
      <c r="B36" s="24">
        <f>B37+B43+B40</f>
        <v>1067435998</v>
      </c>
      <c r="C36" s="24">
        <f>C37+C40+C43</f>
        <v>1598273070</v>
      </c>
      <c r="D36" s="24">
        <f t="shared" ref="D36:E36" si="15">D37+D43+D40</f>
        <v>693915110</v>
      </c>
      <c r="E36" s="24">
        <f t="shared" si="15"/>
        <v>550093894.13999999</v>
      </c>
      <c r="F36" s="24">
        <f t="shared" si="2"/>
        <v>143821215.86000001</v>
      </c>
      <c r="G36" s="29">
        <f t="shared" si="5"/>
        <v>79.273946656097465</v>
      </c>
      <c r="H36" s="29">
        <f t="shared" si="6"/>
        <v>34.418016824872112</v>
      </c>
    </row>
    <row r="37" spans="1:8" s="15" customFormat="1" ht="27" x14ac:dyDescent="0.25">
      <c r="A37" s="14" t="s">
        <v>56</v>
      </c>
      <c r="B37" s="25">
        <f>SUM(B38:B39)</f>
        <v>605332598</v>
      </c>
      <c r="C37" s="25">
        <f>SUM(C38:C39)</f>
        <v>605332598</v>
      </c>
      <c r="D37" s="25">
        <f t="shared" ref="D37:E37" si="16">SUM(D38:D39)</f>
        <v>476174435</v>
      </c>
      <c r="E37" s="25">
        <f t="shared" si="16"/>
        <v>440195439.17999995</v>
      </c>
      <c r="F37" s="25">
        <f t="shared" si="2"/>
        <v>35978995.820000052</v>
      </c>
      <c r="G37" s="31">
        <f t="shared" si="5"/>
        <v>92.444156347872791</v>
      </c>
      <c r="H37" s="31">
        <f t="shared" si="6"/>
        <v>72.719599214447044</v>
      </c>
    </row>
    <row r="38" spans="1:8" ht="26.25" customHeight="1" x14ac:dyDescent="0.25">
      <c r="A38" s="2" t="s">
        <v>22</v>
      </c>
      <c r="B38" s="26">
        <v>299170</v>
      </c>
      <c r="C38" s="26">
        <v>299170</v>
      </c>
      <c r="D38" s="26">
        <v>263170</v>
      </c>
      <c r="E38" s="26">
        <v>172200</v>
      </c>
      <c r="F38" s="26">
        <f t="shared" si="2"/>
        <v>90970</v>
      </c>
      <c r="G38" s="30">
        <f t="shared" si="5"/>
        <v>65.432990082456215</v>
      </c>
      <c r="H38" s="30">
        <f t="shared" si="6"/>
        <v>57.559247250727012</v>
      </c>
    </row>
    <row r="39" spans="1:8" x14ac:dyDescent="0.25">
      <c r="A39" s="2" t="s">
        <v>4</v>
      </c>
      <c r="B39" s="26">
        <v>605033428</v>
      </c>
      <c r="C39" s="26">
        <v>605033428</v>
      </c>
      <c r="D39" s="26">
        <f>5033009+682705+1475778+491926+450229511+15420719+1677700+811617+88300</f>
        <v>475911265</v>
      </c>
      <c r="E39" s="26">
        <f>2358579.81+654172.54+1475777.52+491925.84+421282741.55+12503562.28+553755+673579.64+29145</f>
        <v>440023239.17999995</v>
      </c>
      <c r="F39" s="26">
        <f t="shared" si="2"/>
        <v>35888025.820000052</v>
      </c>
      <c r="G39" s="30">
        <f t="shared" si="5"/>
        <v>92.459093016005824</v>
      </c>
      <c r="H39" s="30">
        <f t="shared" si="6"/>
        <v>72.727095531653816</v>
      </c>
    </row>
    <row r="40" spans="1:8" s="15" customFormat="1" ht="27" x14ac:dyDescent="0.25">
      <c r="A40" s="14" t="s">
        <v>46</v>
      </c>
      <c r="B40" s="25">
        <f>SUM(B41:B42)</f>
        <v>440939100</v>
      </c>
      <c r="C40" s="25">
        <f>SUM(C41:C42)</f>
        <v>970617686</v>
      </c>
      <c r="D40" s="25">
        <f t="shared" ref="D40:E40" si="17">SUM(D41:D42)</f>
        <v>200544608</v>
      </c>
      <c r="E40" s="25">
        <f t="shared" si="17"/>
        <v>92975564.299999997</v>
      </c>
      <c r="F40" s="25">
        <f t="shared" si="2"/>
        <v>107569043.7</v>
      </c>
      <c r="G40" s="31">
        <f t="shared" si="5"/>
        <v>46.361537828032752</v>
      </c>
      <c r="H40" s="31">
        <f t="shared" si="6"/>
        <v>9.5790099068934538</v>
      </c>
    </row>
    <row r="41" spans="1:8" s="3" customFormat="1" x14ac:dyDescent="0.25">
      <c r="A41" s="2" t="s">
        <v>4</v>
      </c>
      <c r="B41" s="26">
        <v>0</v>
      </c>
      <c r="C41" s="26">
        <v>18394188</v>
      </c>
      <c r="D41" s="26">
        <f>4066522+14327666</f>
        <v>18394188</v>
      </c>
      <c r="E41" s="26">
        <v>3628547</v>
      </c>
      <c r="F41" s="26">
        <f t="shared" si="2"/>
        <v>14765641</v>
      </c>
      <c r="G41" s="30">
        <f t="shared" si="5"/>
        <v>19.726595161471653</v>
      </c>
      <c r="H41" s="30">
        <f t="shared" si="6"/>
        <v>19.726595161471653</v>
      </c>
    </row>
    <row r="42" spans="1:8" ht="25.5" x14ac:dyDescent="0.25">
      <c r="A42" s="2" t="s">
        <v>24</v>
      </c>
      <c r="B42" s="26">
        <v>440939100</v>
      </c>
      <c r="C42" s="26">
        <v>952223498</v>
      </c>
      <c r="D42" s="26">
        <f>39905331+142245089</f>
        <v>182150420</v>
      </c>
      <c r="E42" s="26">
        <v>89347017.299999997</v>
      </c>
      <c r="F42" s="26">
        <f t="shared" si="2"/>
        <v>92803402.700000003</v>
      </c>
      <c r="G42" s="30">
        <f t="shared" si="5"/>
        <v>49.051227716082124</v>
      </c>
      <c r="H42" s="30">
        <f t="shared" si="6"/>
        <v>9.3829880787083866</v>
      </c>
    </row>
    <row r="43" spans="1:8" s="15" customFormat="1" ht="27" x14ac:dyDescent="0.25">
      <c r="A43" s="14" t="s">
        <v>47</v>
      </c>
      <c r="B43" s="25">
        <f>SUM(B44:B44)</f>
        <v>21164300</v>
      </c>
      <c r="C43" s="25">
        <f>SUM(C44:C44)</f>
        <v>22322786</v>
      </c>
      <c r="D43" s="25">
        <f>SUM(D44:D44)</f>
        <v>17196067</v>
      </c>
      <c r="E43" s="25">
        <f>SUM(E44:E44)</f>
        <v>16922890.66</v>
      </c>
      <c r="F43" s="25">
        <f t="shared" si="2"/>
        <v>273176.33999999985</v>
      </c>
      <c r="G43" s="31">
        <f t="shared" si="5"/>
        <v>98.411402211912758</v>
      </c>
      <c r="H43" s="31">
        <f t="shared" si="6"/>
        <v>75.809939942084299</v>
      </c>
    </row>
    <row r="44" spans="1:8" x14ac:dyDescent="0.25">
      <c r="A44" s="2" t="s">
        <v>4</v>
      </c>
      <c r="B44" s="26">
        <v>21164300</v>
      </c>
      <c r="C44" s="26">
        <v>22322786</v>
      </c>
      <c r="D44" s="26">
        <v>17196067</v>
      </c>
      <c r="E44" s="26">
        <v>16922890.66</v>
      </c>
      <c r="F44" s="26">
        <f t="shared" si="2"/>
        <v>273176.33999999985</v>
      </c>
      <c r="G44" s="30">
        <f t="shared" si="5"/>
        <v>98.411402211912758</v>
      </c>
      <c r="H44" s="30">
        <f t="shared" si="6"/>
        <v>75.809939942084299</v>
      </c>
    </row>
    <row r="45" spans="1:8" s="3" customFormat="1" ht="29.25" customHeight="1" x14ac:dyDescent="0.25">
      <c r="A45" s="21" t="s">
        <v>32</v>
      </c>
      <c r="B45" s="24">
        <f>B46+B53+B56+B50</f>
        <v>1980927646</v>
      </c>
      <c r="C45" s="24">
        <f>C46+C53+C56+C50</f>
        <v>1470476220</v>
      </c>
      <c r="D45" s="24">
        <f>D46+D53+D56+D50</f>
        <v>838467493</v>
      </c>
      <c r="E45" s="24">
        <f>E46+E53+E56+E50</f>
        <v>238614540.21000004</v>
      </c>
      <c r="F45" s="24">
        <f t="shared" si="2"/>
        <v>599852952.78999996</v>
      </c>
      <c r="G45" s="29">
        <f t="shared" si="5"/>
        <v>28.45841278309403</v>
      </c>
      <c r="H45" s="29">
        <f t="shared" si="6"/>
        <v>16.227024753246265</v>
      </c>
    </row>
    <row r="46" spans="1:8" s="15" customFormat="1" ht="16.5" customHeight="1" x14ac:dyDescent="0.25">
      <c r="A46" s="14" t="s">
        <v>48</v>
      </c>
      <c r="B46" s="25">
        <f>SUM(B48:B49)</f>
        <v>152167946</v>
      </c>
      <c r="C46" s="25">
        <f>SUM(C47:C49)</f>
        <v>109861539</v>
      </c>
      <c r="D46" s="25">
        <f t="shared" ref="D46:E46" si="18">SUM(D48:D49)</f>
        <v>54554534</v>
      </c>
      <c r="E46" s="25">
        <f t="shared" si="18"/>
        <v>32629971.07</v>
      </c>
      <c r="F46" s="25">
        <f t="shared" si="2"/>
        <v>21924562.93</v>
      </c>
      <c r="G46" s="31">
        <f t="shared" si="5"/>
        <v>59.811657579184896</v>
      </c>
      <c r="H46" s="31">
        <f t="shared" si="6"/>
        <v>29.700995787069761</v>
      </c>
    </row>
    <row r="47" spans="1:8" ht="16.5" customHeight="1" x14ac:dyDescent="0.25">
      <c r="A47" s="2" t="s">
        <v>26</v>
      </c>
      <c r="B47" s="26">
        <v>0</v>
      </c>
      <c r="C47" s="26">
        <v>3515418</v>
      </c>
      <c r="D47" s="26">
        <v>0</v>
      </c>
      <c r="E47" s="26">
        <v>0</v>
      </c>
      <c r="F47" s="26">
        <f t="shared" si="2"/>
        <v>0</v>
      </c>
      <c r="G47" s="30">
        <v>0</v>
      </c>
      <c r="H47" s="30">
        <f t="shared" si="6"/>
        <v>0</v>
      </c>
    </row>
    <row r="48" spans="1:8" ht="25.5" x14ac:dyDescent="0.25">
      <c r="A48" s="2" t="s">
        <v>24</v>
      </c>
      <c r="B48" s="26">
        <v>143836546</v>
      </c>
      <c r="C48" s="26">
        <v>71507898</v>
      </c>
      <c r="D48" s="26">
        <f>4717506+365228+36122+30000154</f>
        <v>35119010</v>
      </c>
      <c r="E48" s="26">
        <f>3396553.11+365228+36122+21749611</f>
        <v>25547514.109999999</v>
      </c>
      <c r="F48" s="26">
        <f t="shared" si="2"/>
        <v>9571495.8900000006</v>
      </c>
      <c r="G48" s="30">
        <f t="shared" si="5"/>
        <v>72.7455418304787</v>
      </c>
      <c r="H48" s="30">
        <f t="shared" si="6"/>
        <v>35.726842523045491</v>
      </c>
    </row>
    <row r="49" spans="1:8" ht="19.5" customHeight="1" x14ac:dyDescent="0.25">
      <c r="A49" s="2" t="s">
        <v>3</v>
      </c>
      <c r="B49" s="26">
        <v>8331400</v>
      </c>
      <c r="C49" s="26">
        <v>34838223</v>
      </c>
      <c r="D49" s="26">
        <f>17686326+1749198</f>
        <v>19435524</v>
      </c>
      <c r="E49" s="26">
        <f>6397145.32+685311.64</f>
        <v>7082456.96</v>
      </c>
      <c r="F49" s="26">
        <f t="shared" si="2"/>
        <v>12353067.039999999</v>
      </c>
      <c r="G49" s="30">
        <f t="shared" si="5"/>
        <v>36.440782147165159</v>
      </c>
      <c r="H49" s="30">
        <f t="shared" si="6"/>
        <v>20.329558600046852</v>
      </c>
    </row>
    <row r="50" spans="1:8" s="15" customFormat="1" ht="27" x14ac:dyDescent="0.25">
      <c r="A50" s="14" t="s">
        <v>49</v>
      </c>
      <c r="B50" s="25">
        <f>SUM(B51:B52)</f>
        <v>1668627600</v>
      </c>
      <c r="C50" s="25">
        <f>SUM(C51:C52)</f>
        <v>1212430614</v>
      </c>
      <c r="D50" s="25">
        <f t="shared" ref="D50:E50" si="19">SUM(D51:D52)</f>
        <v>683274217</v>
      </c>
      <c r="E50" s="25">
        <f t="shared" si="19"/>
        <v>120942139.10000002</v>
      </c>
      <c r="F50" s="25">
        <f t="shared" si="2"/>
        <v>562332077.89999998</v>
      </c>
      <c r="G50" s="31">
        <f t="shared" si="5"/>
        <v>17.700380914563329</v>
      </c>
      <c r="H50" s="31">
        <f t="shared" si="6"/>
        <v>9.9751802456548671</v>
      </c>
    </row>
    <row r="51" spans="1:8" x14ac:dyDescent="0.25">
      <c r="A51" s="2" t="s">
        <v>26</v>
      </c>
      <c r="B51" s="26">
        <v>1446026400</v>
      </c>
      <c r="C51" s="26">
        <v>987704701</v>
      </c>
      <c r="D51" s="26">
        <f>10963900+120392+1084443+346188600+277758383+45033786</f>
        <v>681149504</v>
      </c>
      <c r="E51" s="26">
        <f>42402088.88+66321216.42+10752854.37</f>
        <v>119476159.67000002</v>
      </c>
      <c r="F51" s="26">
        <f t="shared" si="2"/>
        <v>561673344.32999992</v>
      </c>
      <c r="G51" s="30">
        <f t="shared" si="5"/>
        <v>17.540372409931319</v>
      </c>
      <c r="H51" s="30">
        <f t="shared" si="6"/>
        <v>12.09634413494606</v>
      </c>
    </row>
    <row r="52" spans="1:8" ht="15" customHeight="1" x14ac:dyDescent="0.25">
      <c r="A52" s="2" t="s">
        <v>3</v>
      </c>
      <c r="B52" s="26">
        <v>222601200</v>
      </c>
      <c r="C52" s="26">
        <v>224725913</v>
      </c>
      <c r="D52" s="26">
        <f>2124713</f>
        <v>2124713</v>
      </c>
      <c r="E52" s="26">
        <v>1465979.43</v>
      </c>
      <c r="F52" s="26">
        <f t="shared" si="2"/>
        <v>658733.57000000007</v>
      </c>
      <c r="G52" s="30">
        <f t="shared" si="5"/>
        <v>68.996585891835736</v>
      </c>
      <c r="H52" s="30">
        <f t="shared" si="6"/>
        <v>0.65234107203293457</v>
      </c>
    </row>
    <row r="53" spans="1:8" s="15" customFormat="1" ht="27" x14ac:dyDescent="0.25">
      <c r="A53" s="14" t="s">
        <v>50</v>
      </c>
      <c r="B53" s="25">
        <f>SUM(B54:B55)</f>
        <v>40517400</v>
      </c>
      <c r="C53" s="25">
        <f>SUM(C54:C55)</f>
        <v>27023700</v>
      </c>
      <c r="D53" s="25">
        <f>SUM(D54:D55)</f>
        <v>10395018</v>
      </c>
      <c r="E53" s="25">
        <f>SUM(E54:E55)</f>
        <v>1890036</v>
      </c>
      <c r="F53" s="25">
        <f t="shared" si="2"/>
        <v>8504982</v>
      </c>
      <c r="G53" s="31">
        <f t="shared" si="5"/>
        <v>18.182133017951486</v>
      </c>
      <c r="H53" s="31">
        <f t="shared" si="6"/>
        <v>6.9939941606811802</v>
      </c>
    </row>
    <row r="54" spans="1:8" ht="30" customHeight="1" x14ac:dyDescent="0.25">
      <c r="A54" s="2" t="s">
        <v>22</v>
      </c>
      <c r="B54" s="26">
        <v>13493700</v>
      </c>
      <c r="C54" s="26">
        <v>0</v>
      </c>
      <c r="D54" s="26">
        <v>0</v>
      </c>
      <c r="E54" s="26">
        <v>0</v>
      </c>
      <c r="F54" s="26">
        <f t="shared" si="2"/>
        <v>0</v>
      </c>
      <c r="G54" s="30">
        <v>0</v>
      </c>
      <c r="H54" s="30">
        <v>0</v>
      </c>
    </row>
    <row r="55" spans="1:8" ht="14.25" customHeight="1" x14ac:dyDescent="0.25">
      <c r="A55" s="2" t="s">
        <v>3</v>
      </c>
      <c r="B55" s="26">
        <v>27023700</v>
      </c>
      <c r="C55" s="26">
        <v>27023700</v>
      </c>
      <c r="D55" s="26">
        <v>10395018</v>
      </c>
      <c r="E55" s="26">
        <v>1890036</v>
      </c>
      <c r="F55" s="26">
        <f t="shared" si="2"/>
        <v>8504982</v>
      </c>
      <c r="G55" s="30">
        <f t="shared" si="5"/>
        <v>18.182133017951486</v>
      </c>
      <c r="H55" s="30">
        <f t="shared" si="6"/>
        <v>6.9939941606811802</v>
      </c>
    </row>
    <row r="56" spans="1:8" s="15" customFormat="1" ht="14.25" customHeight="1" x14ac:dyDescent="0.25">
      <c r="A56" s="14" t="s">
        <v>15</v>
      </c>
      <c r="B56" s="25">
        <f>B57</f>
        <v>119614700</v>
      </c>
      <c r="C56" s="25">
        <f>C57</f>
        <v>121160367</v>
      </c>
      <c r="D56" s="25">
        <f t="shared" ref="D56:E56" si="20">D57</f>
        <v>90243724</v>
      </c>
      <c r="E56" s="25">
        <f t="shared" si="20"/>
        <v>83152394.040000007</v>
      </c>
      <c r="F56" s="25">
        <f t="shared" si="2"/>
        <v>7091329.9599999934</v>
      </c>
      <c r="G56" s="31">
        <f t="shared" si="5"/>
        <v>92.142024236499822</v>
      </c>
      <c r="H56" s="31">
        <f t="shared" si="6"/>
        <v>68.630028200558357</v>
      </c>
    </row>
    <row r="57" spans="1:8" ht="25.5" customHeight="1" x14ac:dyDescent="0.25">
      <c r="A57" s="2" t="s">
        <v>24</v>
      </c>
      <c r="B57" s="26">
        <v>119614700</v>
      </c>
      <c r="C57" s="26">
        <v>121160367</v>
      </c>
      <c r="D57" s="26">
        <v>90243724</v>
      </c>
      <c r="E57" s="26">
        <v>83152394.040000007</v>
      </c>
      <c r="F57" s="26">
        <f t="shared" si="2"/>
        <v>7091329.9599999934</v>
      </c>
      <c r="G57" s="30">
        <f t="shared" si="5"/>
        <v>92.142024236499822</v>
      </c>
      <c r="H57" s="30">
        <f t="shared" si="6"/>
        <v>68.630028200558357</v>
      </c>
    </row>
    <row r="58" spans="1:8" s="3" customFormat="1" ht="39.75" customHeight="1" x14ac:dyDescent="0.25">
      <c r="A58" s="21" t="s">
        <v>51</v>
      </c>
      <c r="B58" s="24">
        <f>B59+B62+B65+B72+B75+B77</f>
        <v>1174783640</v>
      </c>
      <c r="C58" s="24">
        <f>C59+C62+C65+C72+C75+C77</f>
        <v>1831870507.02</v>
      </c>
      <c r="D58" s="24">
        <f>D59+D62+D65+D72+D75+D77</f>
        <v>896601720.53999996</v>
      </c>
      <c r="E58" s="24">
        <f>E59+E62+E65+E72+E75+E77</f>
        <v>633312777.76999998</v>
      </c>
      <c r="F58" s="24">
        <f t="shared" si="2"/>
        <v>263288942.76999998</v>
      </c>
      <c r="G58" s="29">
        <f t="shared" si="5"/>
        <v>70.634793940454642</v>
      </c>
      <c r="H58" s="29">
        <f t="shared" si="6"/>
        <v>34.571918448550335</v>
      </c>
    </row>
    <row r="59" spans="1:8" s="15" customFormat="1" ht="26.25" customHeight="1" x14ac:dyDescent="0.25">
      <c r="A59" s="14" t="s">
        <v>12</v>
      </c>
      <c r="B59" s="25">
        <f>SUM(B60:B61)</f>
        <v>283483300</v>
      </c>
      <c r="C59" s="25">
        <f>SUM(C60:C61)</f>
        <v>628436124</v>
      </c>
      <c r="D59" s="25">
        <f t="shared" ref="D59:E59" si="21">SUM(D60:D61)</f>
        <v>29526793</v>
      </c>
      <c r="E59" s="25">
        <f t="shared" si="21"/>
        <v>4982280.34</v>
      </c>
      <c r="F59" s="25">
        <f t="shared" si="2"/>
        <v>24544512.66</v>
      </c>
      <c r="G59" s="31">
        <f t="shared" si="5"/>
        <v>16.87376051980992</v>
      </c>
      <c r="H59" s="31">
        <f t="shared" si="6"/>
        <v>0.79280616592944297</v>
      </c>
    </row>
    <row r="60" spans="1:8" ht="25.5" customHeight="1" x14ac:dyDescent="0.25">
      <c r="A60" s="2" t="s">
        <v>24</v>
      </c>
      <c r="B60" s="26">
        <v>277487100</v>
      </c>
      <c r="C60" s="26">
        <v>570294952</v>
      </c>
      <c r="D60" s="26">
        <f>17972179</f>
        <v>17972179</v>
      </c>
      <c r="E60" s="26">
        <v>3107075</v>
      </c>
      <c r="F60" s="26">
        <f t="shared" si="2"/>
        <v>14865104</v>
      </c>
      <c r="G60" s="30">
        <f t="shared" si="5"/>
        <v>17.28824868704012</v>
      </c>
      <c r="H60" s="30">
        <f t="shared" si="6"/>
        <v>0.54481895536750247</v>
      </c>
    </row>
    <row r="61" spans="1:8" ht="17.25" customHeight="1" x14ac:dyDescent="0.25">
      <c r="A61" s="2" t="s">
        <v>3</v>
      </c>
      <c r="B61" s="26">
        <v>5996200</v>
      </c>
      <c r="C61" s="26">
        <v>58141172</v>
      </c>
      <c r="D61" s="26">
        <v>11554614</v>
      </c>
      <c r="E61" s="26">
        <v>1875205.34</v>
      </c>
      <c r="F61" s="26">
        <f t="shared" si="2"/>
        <v>9679408.6600000001</v>
      </c>
      <c r="G61" s="30">
        <f t="shared" si="5"/>
        <v>16.229060875594804</v>
      </c>
      <c r="H61" s="30">
        <f t="shared" si="6"/>
        <v>3.2252623665721769</v>
      </c>
    </row>
    <row r="62" spans="1:8" s="15" customFormat="1" ht="27" x14ac:dyDescent="0.25">
      <c r="A62" s="14" t="s">
        <v>13</v>
      </c>
      <c r="B62" s="25">
        <f>SUM(B63:B64)</f>
        <v>34811200</v>
      </c>
      <c r="C62" s="25">
        <f>SUM(C63:C64)</f>
        <v>41913109</v>
      </c>
      <c r="D62" s="25">
        <f t="shared" ref="D62" si="22">SUM(D63:D64)</f>
        <v>31791399</v>
      </c>
      <c r="E62" s="25">
        <f>SUM(E63:E64)</f>
        <v>20423194.170000002</v>
      </c>
      <c r="F62" s="25">
        <f t="shared" si="2"/>
        <v>11368204.829999998</v>
      </c>
      <c r="G62" s="31">
        <f t="shared" si="5"/>
        <v>64.241256479464781</v>
      </c>
      <c r="H62" s="31">
        <f t="shared" si="6"/>
        <v>48.727461782899475</v>
      </c>
    </row>
    <row r="63" spans="1:8" x14ac:dyDescent="0.25">
      <c r="A63" s="2" t="s">
        <v>26</v>
      </c>
      <c r="B63" s="26">
        <v>1589000</v>
      </c>
      <c r="C63" s="26">
        <v>1589000</v>
      </c>
      <c r="D63" s="26">
        <v>1098084</v>
      </c>
      <c r="E63" s="26">
        <v>1087858.25</v>
      </c>
      <c r="F63" s="26">
        <f t="shared" si="2"/>
        <v>10225.75</v>
      </c>
      <c r="G63" s="30">
        <f t="shared" si="5"/>
        <v>99.068764320398074</v>
      </c>
      <c r="H63" s="30">
        <f t="shared" si="6"/>
        <v>68.461815607300196</v>
      </c>
    </row>
    <row r="64" spans="1:8" ht="15" customHeight="1" x14ac:dyDescent="0.25">
      <c r="A64" s="2" t="s">
        <v>3</v>
      </c>
      <c r="B64" s="26">
        <v>33222200</v>
      </c>
      <c r="C64" s="26">
        <v>40324109</v>
      </c>
      <c r="D64" s="26">
        <f>26370212+4323103</f>
        <v>30693315</v>
      </c>
      <c r="E64" s="26">
        <f>15014719.43+4320616.49</f>
        <v>19335335.920000002</v>
      </c>
      <c r="F64" s="26">
        <f t="shared" si="2"/>
        <v>11357979.079999998</v>
      </c>
      <c r="G64" s="30">
        <f t="shared" si="5"/>
        <v>62.995267601430484</v>
      </c>
      <c r="H64" s="30">
        <f t="shared" si="6"/>
        <v>47.949815630148215</v>
      </c>
    </row>
    <row r="65" spans="1:8" s="15" customFormat="1" x14ac:dyDescent="0.25">
      <c r="A65" s="14" t="s">
        <v>14</v>
      </c>
      <c r="B65" s="25">
        <f>SUM(B66:B71)</f>
        <v>4855800</v>
      </c>
      <c r="C65" s="25">
        <f>SUM(C66:C71)</f>
        <v>17139282</v>
      </c>
      <c r="D65" s="25">
        <f>SUM(D66:D71)</f>
        <v>17119282</v>
      </c>
      <c r="E65" s="25">
        <f t="shared" ref="E65" si="23">SUM(E66:E71)</f>
        <v>15147168</v>
      </c>
      <c r="F65" s="25">
        <f t="shared" si="2"/>
        <v>1972114</v>
      </c>
      <c r="G65" s="31">
        <f t="shared" si="5"/>
        <v>88.480159389862251</v>
      </c>
      <c r="H65" s="31">
        <f t="shared" si="6"/>
        <v>88.376911004790045</v>
      </c>
    </row>
    <row r="66" spans="1:8" x14ac:dyDescent="0.25">
      <c r="A66" s="2" t="s">
        <v>18</v>
      </c>
      <c r="B66" s="26">
        <v>285000</v>
      </c>
      <c r="C66" s="26">
        <v>285000</v>
      </c>
      <c r="D66" s="26">
        <v>285000</v>
      </c>
      <c r="E66" s="26">
        <v>285000</v>
      </c>
      <c r="F66" s="26">
        <f t="shared" si="2"/>
        <v>0</v>
      </c>
      <c r="G66" s="30">
        <f t="shared" si="5"/>
        <v>100</v>
      </c>
      <c r="H66" s="30">
        <f t="shared" si="6"/>
        <v>100</v>
      </c>
    </row>
    <row r="67" spans="1:8" ht="22.5" customHeight="1" x14ac:dyDescent="0.25">
      <c r="A67" s="2" t="s">
        <v>22</v>
      </c>
      <c r="B67" s="26">
        <v>2755000</v>
      </c>
      <c r="C67" s="26">
        <v>15383147</v>
      </c>
      <c r="D67" s="26">
        <v>15383147</v>
      </c>
      <c r="E67" s="26">
        <v>13869718</v>
      </c>
      <c r="F67" s="26">
        <f t="shared" si="2"/>
        <v>1513429</v>
      </c>
      <c r="G67" s="30">
        <f t="shared" si="5"/>
        <v>90.161772490375341</v>
      </c>
      <c r="H67" s="30">
        <f t="shared" si="6"/>
        <v>90.161772490375341</v>
      </c>
    </row>
    <row r="68" spans="1:8" x14ac:dyDescent="0.25">
      <c r="A68" s="11" t="s">
        <v>25</v>
      </c>
      <c r="B68" s="26">
        <v>200000</v>
      </c>
      <c r="C68" s="26">
        <v>200000</v>
      </c>
      <c r="D68" s="26">
        <v>200000</v>
      </c>
      <c r="E68" s="26">
        <v>200000</v>
      </c>
      <c r="F68" s="26">
        <f t="shared" si="2"/>
        <v>0</v>
      </c>
      <c r="G68" s="30">
        <f t="shared" si="5"/>
        <v>100</v>
      </c>
      <c r="H68" s="30">
        <f t="shared" si="6"/>
        <v>100</v>
      </c>
    </row>
    <row r="69" spans="1:8" x14ac:dyDescent="0.25">
      <c r="A69" s="2" t="s">
        <v>4</v>
      </c>
      <c r="B69" s="26">
        <v>795000</v>
      </c>
      <c r="C69" s="26">
        <v>795000</v>
      </c>
      <c r="D69" s="26">
        <v>795000</v>
      </c>
      <c r="E69" s="26">
        <v>786950</v>
      </c>
      <c r="F69" s="26">
        <f t="shared" si="2"/>
        <v>8050</v>
      </c>
      <c r="G69" s="30">
        <f t="shared" si="5"/>
        <v>98.987421383647799</v>
      </c>
      <c r="H69" s="30">
        <f t="shared" si="6"/>
        <v>98.987421383647799</v>
      </c>
    </row>
    <row r="70" spans="1:8" ht="25.5" x14ac:dyDescent="0.25">
      <c r="A70" s="2" t="s">
        <v>24</v>
      </c>
      <c r="B70" s="26">
        <v>0</v>
      </c>
      <c r="C70" s="26">
        <v>11200</v>
      </c>
      <c r="D70" s="26">
        <v>11200</v>
      </c>
      <c r="E70" s="26">
        <v>5500</v>
      </c>
      <c r="F70" s="26">
        <f t="shared" ref="F70:F133" si="24">D70-E70</f>
        <v>5700</v>
      </c>
      <c r="G70" s="30">
        <f t="shared" si="5"/>
        <v>49.107142857142854</v>
      </c>
      <c r="H70" s="30">
        <f t="shared" si="6"/>
        <v>49.107142857142854</v>
      </c>
    </row>
    <row r="71" spans="1:8" ht="17.25" customHeight="1" x14ac:dyDescent="0.25">
      <c r="A71" s="2" t="s">
        <v>3</v>
      </c>
      <c r="B71" s="26">
        <v>820800</v>
      </c>
      <c r="C71" s="26">
        <v>464935</v>
      </c>
      <c r="D71" s="26">
        <f>46500+398435</f>
        <v>444935</v>
      </c>
      <c r="E71" s="26">
        <v>0</v>
      </c>
      <c r="F71" s="26">
        <f t="shared" si="24"/>
        <v>444935</v>
      </c>
      <c r="G71" s="30">
        <f t="shared" si="5"/>
        <v>0</v>
      </c>
      <c r="H71" s="30">
        <f t="shared" si="6"/>
        <v>0</v>
      </c>
    </row>
    <row r="72" spans="1:8" s="15" customFormat="1" x14ac:dyDescent="0.25">
      <c r="A72" s="14" t="s">
        <v>27</v>
      </c>
      <c r="B72" s="25">
        <f>SUM(B74:B74)</f>
        <v>533240340</v>
      </c>
      <c r="C72" s="25">
        <f>SUM(C73:C74)</f>
        <v>765111083.01999998</v>
      </c>
      <c r="D72" s="25">
        <f t="shared" ref="D72:E72" si="25">SUM(D73:D74)</f>
        <v>560318893.81999993</v>
      </c>
      <c r="E72" s="25">
        <f t="shared" si="25"/>
        <v>394906640.23000002</v>
      </c>
      <c r="F72" s="25">
        <f t="shared" si="24"/>
        <v>165412253.58999991</v>
      </c>
      <c r="G72" s="31">
        <f t="shared" ref="G72:G135" si="26">(E72/D72)*100</f>
        <v>70.478908454738303</v>
      </c>
      <c r="H72" s="31">
        <f t="shared" ref="H72:H135" si="27">(E72/C72)*100</f>
        <v>51.614288303241992</v>
      </c>
    </row>
    <row r="73" spans="1:8" ht="25.5" x14ac:dyDescent="0.25">
      <c r="A73" s="2" t="s">
        <v>24</v>
      </c>
      <c r="B73" s="26">
        <v>0</v>
      </c>
      <c r="C73" s="26">
        <v>287925758</v>
      </c>
      <c r="D73" s="26">
        <f>287883424</f>
        <v>287883424</v>
      </c>
      <c r="E73" s="26">
        <v>222865458</v>
      </c>
      <c r="F73" s="26">
        <f t="shared" si="24"/>
        <v>65017966</v>
      </c>
      <c r="G73" s="30">
        <f t="shared" si="26"/>
        <v>77.41517552604904</v>
      </c>
      <c r="H73" s="30">
        <f t="shared" si="27"/>
        <v>77.403793098636214</v>
      </c>
    </row>
    <row r="74" spans="1:8" ht="18" customHeight="1" x14ac:dyDescent="0.25">
      <c r="A74" s="2" t="s">
        <v>3</v>
      </c>
      <c r="B74" s="26">
        <v>533240340</v>
      </c>
      <c r="C74" s="26">
        <v>477185325.01999998</v>
      </c>
      <c r="D74" s="26">
        <f>1916800+7566800+102305008+5245556+28799973+38451075+1906013.2+2111848.8+39306512.82+38102000+6723883</f>
        <v>272435469.81999999</v>
      </c>
      <c r="E74" s="26">
        <f>1916800+7522173.63+83904439.05+5245544.27+24815259.65+9939378.88+38091484.64+606102.11</f>
        <v>172041182.23000002</v>
      </c>
      <c r="F74" s="26">
        <f t="shared" si="24"/>
        <v>100394287.58999997</v>
      </c>
      <c r="G74" s="30">
        <f t="shared" si="26"/>
        <v>63.149333067265005</v>
      </c>
      <c r="H74" s="30">
        <f t="shared" si="27"/>
        <v>36.053326288437169</v>
      </c>
    </row>
    <row r="75" spans="1:8" s="15" customFormat="1" x14ac:dyDescent="0.25">
      <c r="A75" s="14" t="s">
        <v>15</v>
      </c>
      <c r="B75" s="25">
        <f t="shared" ref="B75:C75" si="28">B76</f>
        <v>279614600</v>
      </c>
      <c r="C75" s="25">
        <f t="shared" si="28"/>
        <v>295648380</v>
      </c>
      <c r="D75" s="25">
        <f>SUM(D76:D76)</f>
        <v>213130156</v>
      </c>
      <c r="E75" s="25">
        <f>SUM(E76:E76)</f>
        <v>197542115.50999999</v>
      </c>
      <c r="F75" s="25">
        <f t="shared" si="24"/>
        <v>15588040.49000001</v>
      </c>
      <c r="G75" s="31">
        <f t="shared" si="26"/>
        <v>92.686140346089729</v>
      </c>
      <c r="H75" s="31">
        <f t="shared" si="27"/>
        <v>66.816572953993528</v>
      </c>
    </row>
    <row r="76" spans="1:8" ht="16.5" customHeight="1" x14ac:dyDescent="0.25">
      <c r="A76" s="2" t="s">
        <v>3</v>
      </c>
      <c r="B76" s="26">
        <v>279614600</v>
      </c>
      <c r="C76" s="26">
        <v>295648380</v>
      </c>
      <c r="D76" s="26">
        <v>213130156</v>
      </c>
      <c r="E76" s="26">
        <v>197542115.50999999</v>
      </c>
      <c r="F76" s="26">
        <f t="shared" si="24"/>
        <v>15588040.49000001</v>
      </c>
      <c r="G76" s="30">
        <f t="shared" si="26"/>
        <v>92.686140346089729</v>
      </c>
      <c r="H76" s="30">
        <f t="shared" si="27"/>
        <v>66.816572953993528</v>
      </c>
    </row>
    <row r="77" spans="1:8" s="15" customFormat="1" ht="54" x14ac:dyDescent="0.25">
      <c r="A77" s="14" t="s">
        <v>52</v>
      </c>
      <c r="B77" s="25">
        <f t="shared" ref="B77:D77" si="29">B78</f>
        <v>38778400</v>
      </c>
      <c r="C77" s="25">
        <f t="shared" si="29"/>
        <v>83622529</v>
      </c>
      <c r="D77" s="25">
        <f t="shared" si="29"/>
        <v>44715196.719999999</v>
      </c>
      <c r="E77" s="25">
        <f>E78</f>
        <v>311379.52</v>
      </c>
      <c r="F77" s="25">
        <f t="shared" si="24"/>
        <v>44403817.199999996</v>
      </c>
      <c r="G77" s="31">
        <f t="shared" si="26"/>
        <v>0.69636173569762616</v>
      </c>
      <c r="H77" s="31">
        <f t="shared" si="27"/>
        <v>0.37236319413396363</v>
      </c>
    </row>
    <row r="78" spans="1:8" ht="16.5" customHeight="1" x14ac:dyDescent="0.25">
      <c r="A78" s="2" t="s">
        <v>3</v>
      </c>
      <c r="B78" s="26">
        <v>38778400</v>
      </c>
      <c r="C78" s="26">
        <v>83622529</v>
      </c>
      <c r="D78" s="26">
        <v>44715196.719999999</v>
      </c>
      <c r="E78" s="26">
        <v>311379.52</v>
      </c>
      <c r="F78" s="26">
        <f t="shared" si="24"/>
        <v>44403817.199999996</v>
      </c>
      <c r="G78" s="30">
        <f t="shared" si="26"/>
        <v>0.69636173569762616</v>
      </c>
      <c r="H78" s="30">
        <f t="shared" si="27"/>
        <v>0.37236319413396363</v>
      </c>
    </row>
    <row r="79" spans="1:8" s="3" customFormat="1" ht="39.75" customHeight="1" x14ac:dyDescent="0.25">
      <c r="A79" s="22" t="s">
        <v>60</v>
      </c>
      <c r="B79" s="24">
        <f>B80+B83</f>
        <v>3235063</v>
      </c>
      <c r="C79" s="24">
        <f>C80+C83</f>
        <v>3412563</v>
      </c>
      <c r="D79" s="24">
        <f t="shared" ref="D79:E79" si="30">D80+D83</f>
        <v>1830735</v>
      </c>
      <c r="E79" s="24">
        <f t="shared" si="30"/>
        <v>1695624.26</v>
      </c>
      <c r="F79" s="24">
        <f t="shared" si="24"/>
        <v>135110.74</v>
      </c>
      <c r="G79" s="29">
        <f t="shared" si="26"/>
        <v>92.619863606693485</v>
      </c>
      <c r="H79" s="29">
        <f t="shared" si="27"/>
        <v>49.687705692173303</v>
      </c>
    </row>
    <row r="80" spans="1:8" s="15" customFormat="1" x14ac:dyDescent="0.25">
      <c r="A80" s="16" t="s">
        <v>2</v>
      </c>
      <c r="B80" s="25">
        <f>SUM(B81:B82)</f>
        <v>3188800</v>
      </c>
      <c r="C80" s="25">
        <f>SUM(C81:C82)</f>
        <v>3366300</v>
      </c>
      <c r="D80" s="25">
        <f>SUM(D81:D82)</f>
        <v>1784472</v>
      </c>
      <c r="E80" s="25">
        <f>SUM(E81:E82)</f>
        <v>1655994.26</v>
      </c>
      <c r="F80" s="25">
        <f t="shared" si="24"/>
        <v>128477.73999999999</v>
      </c>
      <c r="G80" s="31">
        <f t="shared" si="26"/>
        <v>92.800237829453195</v>
      </c>
      <c r="H80" s="31">
        <f t="shared" si="27"/>
        <v>49.193306003624159</v>
      </c>
    </row>
    <row r="81" spans="1:8" x14ac:dyDescent="0.25">
      <c r="A81" s="4" t="s">
        <v>18</v>
      </c>
      <c r="B81" s="26">
        <v>137800</v>
      </c>
      <c r="C81" s="26">
        <v>335297</v>
      </c>
      <c r="D81" s="26">
        <f>51600+22200+19997</f>
        <v>93797</v>
      </c>
      <c r="E81" s="26">
        <f>51191.42+22029.18+8200</f>
        <v>81420.600000000006</v>
      </c>
      <c r="F81" s="26">
        <f t="shared" si="24"/>
        <v>12376.399999999994</v>
      </c>
      <c r="G81" s="30">
        <f t="shared" si="26"/>
        <v>86.805121698988245</v>
      </c>
      <c r="H81" s="30">
        <f t="shared" si="27"/>
        <v>24.283128092407626</v>
      </c>
    </row>
    <row r="82" spans="1:8" ht="15" customHeight="1" x14ac:dyDescent="0.25">
      <c r="A82" s="4" t="s">
        <v>3</v>
      </c>
      <c r="B82" s="26">
        <v>3051000</v>
      </c>
      <c r="C82" s="26">
        <v>3031003</v>
      </c>
      <c r="D82" s="26">
        <v>1690675</v>
      </c>
      <c r="E82" s="26">
        <v>1574573.66</v>
      </c>
      <c r="F82" s="26">
        <f t="shared" si="24"/>
        <v>116101.34000000008</v>
      </c>
      <c r="G82" s="30">
        <f t="shared" si="26"/>
        <v>93.132841025034381</v>
      </c>
      <c r="H82" s="30">
        <f t="shared" si="27"/>
        <v>51.948931096406035</v>
      </c>
    </row>
    <row r="83" spans="1:8" s="15" customFormat="1" ht="25.5" customHeight="1" x14ac:dyDescent="0.25">
      <c r="A83" s="16" t="s">
        <v>61</v>
      </c>
      <c r="B83" s="25">
        <f>B84</f>
        <v>46263</v>
      </c>
      <c r="C83" s="25">
        <f>C84</f>
        <v>46263</v>
      </c>
      <c r="D83" s="25">
        <f t="shared" ref="D83:E83" si="31">D84</f>
        <v>46263</v>
      </c>
      <c r="E83" s="25">
        <f t="shared" si="31"/>
        <v>39630</v>
      </c>
      <c r="F83" s="25">
        <f t="shared" si="24"/>
        <v>6633</v>
      </c>
      <c r="G83" s="31">
        <f t="shared" si="26"/>
        <v>85.66240840412425</v>
      </c>
      <c r="H83" s="31">
        <f t="shared" si="27"/>
        <v>85.66240840412425</v>
      </c>
    </row>
    <row r="84" spans="1:8" ht="15" customHeight="1" x14ac:dyDescent="0.25">
      <c r="A84" s="11" t="s">
        <v>25</v>
      </c>
      <c r="B84" s="26">
        <v>46263</v>
      </c>
      <c r="C84" s="26">
        <v>46263</v>
      </c>
      <c r="D84" s="26">
        <v>46263</v>
      </c>
      <c r="E84" s="26">
        <v>39630</v>
      </c>
      <c r="F84" s="26">
        <f t="shared" si="24"/>
        <v>6633</v>
      </c>
      <c r="G84" s="30">
        <f t="shared" si="26"/>
        <v>85.66240840412425</v>
      </c>
      <c r="H84" s="30">
        <f t="shared" si="27"/>
        <v>85.66240840412425</v>
      </c>
    </row>
    <row r="85" spans="1:8" s="3" customFormat="1" ht="41.25" customHeight="1" x14ac:dyDescent="0.25">
      <c r="A85" s="22" t="s">
        <v>55</v>
      </c>
      <c r="B85" s="24">
        <f>B86+B89</f>
        <v>12952768</v>
      </c>
      <c r="C85" s="24">
        <f>C86+C89</f>
        <v>22970103</v>
      </c>
      <c r="D85" s="24">
        <f>D86+D89</f>
        <v>18407906</v>
      </c>
      <c r="E85" s="24">
        <f>E86+E89</f>
        <v>14589443.609999999</v>
      </c>
      <c r="F85" s="24">
        <f t="shared" si="24"/>
        <v>3818462.3900000006</v>
      </c>
      <c r="G85" s="29">
        <f t="shared" si="26"/>
        <v>79.256399994654473</v>
      </c>
      <c r="H85" s="29">
        <f t="shared" si="27"/>
        <v>63.514924639214719</v>
      </c>
    </row>
    <row r="86" spans="1:8" s="15" customFormat="1" ht="40.5" x14ac:dyDescent="0.25">
      <c r="A86" s="14" t="s">
        <v>19</v>
      </c>
      <c r="B86" s="25">
        <f>SUM(B87:B87)</f>
        <v>259400</v>
      </c>
      <c r="C86" s="25">
        <f>SUM(C87:C88)</f>
        <v>2745132</v>
      </c>
      <c r="D86" s="25">
        <f>SUM(D87:D87)</f>
        <v>259400</v>
      </c>
      <c r="E86" s="25">
        <f>SUM(E87:E87)</f>
        <v>159110.5</v>
      </c>
      <c r="F86" s="25">
        <f t="shared" si="24"/>
        <v>100289.5</v>
      </c>
      <c r="G86" s="31">
        <f t="shared" si="26"/>
        <v>61.337895142636853</v>
      </c>
      <c r="H86" s="31">
        <f t="shared" si="27"/>
        <v>5.796096508291769</v>
      </c>
    </row>
    <row r="87" spans="1:8" x14ac:dyDescent="0.25">
      <c r="A87" s="2" t="s">
        <v>18</v>
      </c>
      <c r="B87" s="26">
        <v>259400</v>
      </c>
      <c r="C87" s="26">
        <v>259400</v>
      </c>
      <c r="D87" s="26">
        <v>259400</v>
      </c>
      <c r="E87" s="26">
        <v>159110.5</v>
      </c>
      <c r="F87" s="26">
        <f t="shared" si="24"/>
        <v>100289.5</v>
      </c>
      <c r="G87" s="30">
        <f t="shared" si="26"/>
        <v>61.337895142636853</v>
      </c>
      <c r="H87" s="30">
        <f t="shared" si="27"/>
        <v>61.337895142636853</v>
      </c>
    </row>
    <row r="88" spans="1:8" ht="25.5" x14ac:dyDescent="0.25">
      <c r="A88" s="2" t="s">
        <v>3</v>
      </c>
      <c r="B88" s="26">
        <v>0</v>
      </c>
      <c r="C88" s="26">
        <v>2485732</v>
      </c>
      <c r="D88" s="26">
        <v>0</v>
      </c>
      <c r="E88" s="26">
        <v>0</v>
      </c>
      <c r="F88" s="26">
        <f t="shared" si="24"/>
        <v>0</v>
      </c>
      <c r="G88" s="30">
        <v>0</v>
      </c>
      <c r="H88" s="30">
        <f t="shared" si="27"/>
        <v>0</v>
      </c>
    </row>
    <row r="89" spans="1:8" s="15" customFormat="1" ht="27" x14ac:dyDescent="0.25">
      <c r="A89" s="14" t="s">
        <v>9</v>
      </c>
      <c r="B89" s="25">
        <f>SUM(B91:B97)</f>
        <v>12693368</v>
      </c>
      <c r="C89" s="25">
        <f>SUM(C90:C97)</f>
        <v>20224971</v>
      </c>
      <c r="D89" s="25">
        <f t="shared" ref="D89:E89" si="32">SUM(D90:D97)</f>
        <v>18148506</v>
      </c>
      <c r="E89" s="25">
        <f t="shared" si="32"/>
        <v>14430333.109999999</v>
      </c>
      <c r="F89" s="25">
        <f t="shared" si="24"/>
        <v>3718172.8900000006</v>
      </c>
      <c r="G89" s="31">
        <f t="shared" si="26"/>
        <v>79.512512545109772</v>
      </c>
      <c r="H89" s="31">
        <f t="shared" si="27"/>
        <v>71.34909172428479</v>
      </c>
    </row>
    <row r="90" spans="1:8" x14ac:dyDescent="0.25">
      <c r="A90" s="2" t="s">
        <v>67</v>
      </c>
      <c r="B90" s="26"/>
      <c r="C90" s="26">
        <v>49600</v>
      </c>
      <c r="D90" s="26">
        <v>35600</v>
      </c>
      <c r="E90" s="26">
        <v>15520</v>
      </c>
      <c r="F90" s="26">
        <f t="shared" si="24"/>
        <v>20080</v>
      </c>
      <c r="G90" s="30">
        <f t="shared" si="26"/>
        <v>43.595505617977523</v>
      </c>
      <c r="H90" s="30">
        <f t="shared" si="27"/>
        <v>31.290322580645164</v>
      </c>
    </row>
    <row r="91" spans="1:8" x14ac:dyDescent="0.25">
      <c r="A91" s="2" t="s">
        <v>18</v>
      </c>
      <c r="B91" s="26">
        <v>151300</v>
      </c>
      <c r="C91" s="26">
        <v>151300</v>
      </c>
      <c r="D91" s="26">
        <v>80900</v>
      </c>
      <c r="E91" s="26">
        <v>31657.52</v>
      </c>
      <c r="F91" s="26">
        <f t="shared" si="24"/>
        <v>49242.479999999996</v>
      </c>
      <c r="G91" s="30">
        <f t="shared" si="26"/>
        <v>39.131668726823236</v>
      </c>
      <c r="H91" s="30">
        <f t="shared" si="27"/>
        <v>20.923674818241903</v>
      </c>
    </row>
    <row r="92" spans="1:8" x14ac:dyDescent="0.25">
      <c r="A92" s="2" t="s">
        <v>26</v>
      </c>
      <c r="B92" s="26">
        <v>132900</v>
      </c>
      <c r="C92" s="26">
        <v>132900</v>
      </c>
      <c r="D92" s="26">
        <v>88500</v>
      </c>
      <c r="E92" s="26">
        <v>40300</v>
      </c>
      <c r="F92" s="26">
        <f t="shared" si="24"/>
        <v>48200</v>
      </c>
      <c r="G92" s="30">
        <f t="shared" si="26"/>
        <v>45.536723163841806</v>
      </c>
      <c r="H92" s="30">
        <f t="shared" si="27"/>
        <v>30.323551542513165</v>
      </c>
    </row>
    <row r="93" spans="1:8" ht="26.25" customHeight="1" x14ac:dyDescent="0.25">
      <c r="A93" s="2" t="s">
        <v>22</v>
      </c>
      <c r="B93" s="26">
        <v>9276000</v>
      </c>
      <c r="C93" s="26">
        <v>16770716</v>
      </c>
      <c r="D93" s="26">
        <v>15657551</v>
      </c>
      <c r="E93" s="26">
        <v>12522749.779999999</v>
      </c>
      <c r="F93" s="26">
        <f t="shared" si="24"/>
        <v>3134801.2200000007</v>
      </c>
      <c r="G93" s="30">
        <f t="shared" si="26"/>
        <v>79.978981259585225</v>
      </c>
      <c r="H93" s="30">
        <f t="shared" si="27"/>
        <v>74.67033476686386</v>
      </c>
    </row>
    <row r="94" spans="1:8" x14ac:dyDescent="0.25">
      <c r="A94" s="11" t="s">
        <v>25</v>
      </c>
      <c r="B94" s="26">
        <v>1150168</v>
      </c>
      <c r="C94" s="26">
        <v>1207858</v>
      </c>
      <c r="D94" s="26">
        <v>966880</v>
      </c>
      <c r="E94" s="26">
        <v>802510.28</v>
      </c>
      <c r="F94" s="26">
        <f t="shared" si="24"/>
        <v>164369.71999999997</v>
      </c>
      <c r="G94" s="30">
        <f t="shared" si="26"/>
        <v>82.999987588945885</v>
      </c>
      <c r="H94" s="30">
        <f t="shared" si="27"/>
        <v>66.440780290398379</v>
      </c>
    </row>
    <row r="95" spans="1:8" x14ac:dyDescent="0.25">
      <c r="A95" s="2" t="s">
        <v>4</v>
      </c>
      <c r="B95" s="26">
        <v>1373200</v>
      </c>
      <c r="C95" s="26">
        <v>1373200</v>
      </c>
      <c r="D95" s="26">
        <v>984659</v>
      </c>
      <c r="E95" s="26">
        <v>816537.31</v>
      </c>
      <c r="F95" s="26">
        <f t="shared" si="24"/>
        <v>168121.68999999994</v>
      </c>
      <c r="G95" s="30">
        <f t="shared" si="26"/>
        <v>82.925897188772964</v>
      </c>
      <c r="H95" s="30">
        <f t="shared" si="27"/>
        <v>59.4623732886688</v>
      </c>
    </row>
    <row r="96" spans="1:8" ht="25.5" x14ac:dyDescent="0.25">
      <c r="A96" s="2" t="s">
        <v>24</v>
      </c>
      <c r="B96" s="26">
        <v>94000</v>
      </c>
      <c r="C96" s="26">
        <v>170000</v>
      </c>
      <c r="D96" s="26">
        <v>93000</v>
      </c>
      <c r="E96" s="26">
        <v>66500</v>
      </c>
      <c r="F96" s="26">
        <f t="shared" si="24"/>
        <v>26500</v>
      </c>
      <c r="G96" s="30">
        <f t="shared" si="26"/>
        <v>71.505376344086031</v>
      </c>
      <c r="H96" s="30">
        <f t="shared" si="27"/>
        <v>39.117647058823529</v>
      </c>
    </row>
    <row r="97" spans="1:8" ht="18" customHeight="1" x14ac:dyDescent="0.25">
      <c r="A97" s="2" t="s">
        <v>3</v>
      </c>
      <c r="B97" s="26">
        <v>515800</v>
      </c>
      <c r="C97" s="26">
        <v>369397</v>
      </c>
      <c r="D97" s="26">
        <v>241416</v>
      </c>
      <c r="E97" s="26">
        <v>134558.22</v>
      </c>
      <c r="F97" s="26">
        <f t="shared" si="24"/>
        <v>106857.78</v>
      </c>
      <c r="G97" s="30">
        <f t="shared" si="26"/>
        <v>55.737076250124261</v>
      </c>
      <c r="H97" s="30">
        <f t="shared" si="27"/>
        <v>36.426451757864847</v>
      </c>
    </row>
    <row r="98" spans="1:8" s="3" customFormat="1" ht="24.75" customHeight="1" x14ac:dyDescent="0.25">
      <c r="A98" s="22" t="s">
        <v>33</v>
      </c>
      <c r="B98" s="24">
        <f>B99+B102+B104+B106</f>
        <v>426619100</v>
      </c>
      <c r="C98" s="24">
        <f>C99+C102+C104+C106</f>
        <v>443372057</v>
      </c>
      <c r="D98" s="24">
        <f>D99+D104+D102+D106</f>
        <v>338155235</v>
      </c>
      <c r="E98" s="24">
        <f>E99+E104+E102+E106</f>
        <v>303056912.68000001</v>
      </c>
      <c r="F98" s="24">
        <f t="shared" si="24"/>
        <v>35098322.319999993</v>
      </c>
      <c r="G98" s="29">
        <f t="shared" si="26"/>
        <v>89.620647948862896</v>
      </c>
      <c r="H98" s="29">
        <f t="shared" si="27"/>
        <v>68.352731728422839</v>
      </c>
    </row>
    <row r="99" spans="1:8" s="15" customFormat="1" x14ac:dyDescent="0.25">
      <c r="A99" s="16" t="s">
        <v>7</v>
      </c>
      <c r="B99" s="25">
        <f>SUM(B100:B101)</f>
        <v>303522400</v>
      </c>
      <c r="C99" s="25">
        <f>SUM(C100:C101)</f>
        <v>309438451</v>
      </c>
      <c r="D99" s="25">
        <f t="shared" ref="D99:E99" si="33">SUM(D100:D101)</f>
        <v>227456701</v>
      </c>
      <c r="E99" s="25">
        <f t="shared" si="33"/>
        <v>219147172.46000001</v>
      </c>
      <c r="F99" s="25">
        <f t="shared" si="24"/>
        <v>8309528.5399999917</v>
      </c>
      <c r="G99" s="31">
        <f t="shared" si="26"/>
        <v>96.346764679401559</v>
      </c>
      <c r="H99" s="31">
        <f t="shared" si="27"/>
        <v>70.820924727289309</v>
      </c>
    </row>
    <row r="100" spans="1:8" x14ac:dyDescent="0.25">
      <c r="A100" s="4" t="s">
        <v>18</v>
      </c>
      <c r="B100" s="26">
        <v>302222400</v>
      </c>
      <c r="C100" s="26">
        <v>308888254</v>
      </c>
      <c r="D100" s="26">
        <f>58532638+167628180+995667</f>
        <v>227156485</v>
      </c>
      <c r="E100" s="26">
        <f>56298233.42+162109247.19+615451.16</f>
        <v>219022931.77000001</v>
      </c>
      <c r="F100" s="26">
        <f t="shared" si="24"/>
        <v>8133553.2299999893</v>
      </c>
      <c r="G100" s="30">
        <f t="shared" si="26"/>
        <v>96.419405226313486</v>
      </c>
      <c r="H100" s="30">
        <f t="shared" si="27"/>
        <v>70.9068502714901</v>
      </c>
    </row>
    <row r="101" spans="1:8" ht="25.5" x14ac:dyDescent="0.25">
      <c r="A101" s="2" t="s">
        <v>24</v>
      </c>
      <c r="B101" s="26">
        <v>1300000</v>
      </c>
      <c r="C101" s="26">
        <v>550197</v>
      </c>
      <c r="D101" s="26">
        <v>300216</v>
      </c>
      <c r="E101" s="26">
        <v>124240.69</v>
      </c>
      <c r="F101" s="26">
        <f t="shared" si="24"/>
        <v>175975.31</v>
      </c>
      <c r="G101" s="30">
        <f t="shared" si="26"/>
        <v>41.383767021078164</v>
      </c>
      <c r="H101" s="30">
        <f t="shared" si="27"/>
        <v>22.581128214076049</v>
      </c>
    </row>
    <row r="102" spans="1:8" s="15" customFormat="1" x14ac:dyDescent="0.25">
      <c r="A102" s="16" t="s">
        <v>20</v>
      </c>
      <c r="B102" s="25">
        <f>SUM(B103:B103)</f>
        <v>68742700</v>
      </c>
      <c r="C102" s="25">
        <f>SUM(C103:C103)</f>
        <v>69671049</v>
      </c>
      <c r="D102" s="25">
        <f>SUM(D103:D103)</f>
        <v>61555394</v>
      </c>
      <c r="E102" s="25">
        <f>SUM(E103:E103)</f>
        <v>46780315.920000002</v>
      </c>
      <c r="F102" s="25">
        <f t="shared" si="24"/>
        <v>14775078.079999998</v>
      </c>
      <c r="G102" s="31">
        <f t="shared" si="26"/>
        <v>75.997102577233122</v>
      </c>
      <c r="H102" s="31">
        <f t="shared" si="27"/>
        <v>67.144555150877665</v>
      </c>
    </row>
    <row r="103" spans="1:8" x14ac:dyDescent="0.25">
      <c r="A103" s="4" t="s">
        <v>18</v>
      </c>
      <c r="B103" s="26">
        <v>68742700</v>
      </c>
      <c r="C103" s="26">
        <v>69671049</v>
      </c>
      <c r="D103" s="26">
        <v>61555394</v>
      </c>
      <c r="E103" s="26">
        <v>46780315.920000002</v>
      </c>
      <c r="F103" s="26">
        <f t="shared" si="24"/>
        <v>14775078.079999998</v>
      </c>
      <c r="G103" s="30">
        <f t="shared" si="26"/>
        <v>75.997102577233122</v>
      </c>
      <c r="H103" s="30">
        <f t="shared" si="27"/>
        <v>67.144555150877665</v>
      </c>
    </row>
    <row r="104" spans="1:8" s="15" customFormat="1" x14ac:dyDescent="0.25">
      <c r="A104" s="16" t="s">
        <v>8</v>
      </c>
      <c r="B104" s="25">
        <f t="shared" ref="B104:D104" si="34">B105</f>
        <v>6423200</v>
      </c>
      <c r="C104" s="25">
        <f t="shared" si="34"/>
        <v>6423200</v>
      </c>
      <c r="D104" s="25">
        <f t="shared" si="34"/>
        <v>5000000</v>
      </c>
      <c r="E104" s="25">
        <f>E105</f>
        <v>0</v>
      </c>
      <c r="F104" s="25">
        <f t="shared" si="24"/>
        <v>5000000</v>
      </c>
      <c r="G104" s="31">
        <f t="shared" si="26"/>
        <v>0</v>
      </c>
      <c r="H104" s="31">
        <f t="shared" si="27"/>
        <v>0</v>
      </c>
    </row>
    <row r="105" spans="1:8" x14ac:dyDescent="0.25">
      <c r="A105" s="4" t="s">
        <v>18</v>
      </c>
      <c r="B105" s="26">
        <v>6423200</v>
      </c>
      <c r="C105" s="26">
        <v>6423200</v>
      </c>
      <c r="D105" s="26">
        <v>5000000</v>
      </c>
      <c r="E105" s="26">
        <v>0</v>
      </c>
      <c r="F105" s="26">
        <f t="shared" si="24"/>
        <v>5000000</v>
      </c>
      <c r="G105" s="30">
        <f t="shared" si="26"/>
        <v>0</v>
      </c>
      <c r="H105" s="30">
        <f t="shared" si="27"/>
        <v>0</v>
      </c>
    </row>
    <row r="106" spans="1:8" s="15" customFormat="1" ht="40.5" x14ac:dyDescent="0.25">
      <c r="A106" s="16" t="s">
        <v>21</v>
      </c>
      <c r="B106" s="25">
        <f>B107+B108</f>
        <v>47930800</v>
      </c>
      <c r="C106" s="25">
        <f>C107+C108</f>
        <v>57839357</v>
      </c>
      <c r="D106" s="25">
        <f t="shared" ref="D106:E106" si="35">D107+D108</f>
        <v>44143140</v>
      </c>
      <c r="E106" s="25">
        <f t="shared" si="35"/>
        <v>37129424.299999997</v>
      </c>
      <c r="F106" s="25">
        <f t="shared" si="24"/>
        <v>7013715.700000003</v>
      </c>
      <c r="G106" s="31">
        <f t="shared" si="26"/>
        <v>84.111425467241347</v>
      </c>
      <c r="H106" s="31">
        <f t="shared" si="27"/>
        <v>64.194047489151714</v>
      </c>
    </row>
    <row r="107" spans="1:8" x14ac:dyDescent="0.25">
      <c r="A107" s="4" t="s">
        <v>18</v>
      </c>
      <c r="B107" s="26">
        <v>24298500</v>
      </c>
      <c r="C107" s="26">
        <v>29612631</v>
      </c>
      <c r="D107" s="26">
        <f>12300013+400000+10817801</f>
        <v>23517814</v>
      </c>
      <c r="E107" s="26">
        <f>11798899.68+200000+8369714.48</f>
        <v>20368614.16</v>
      </c>
      <c r="F107" s="26">
        <f t="shared" si="24"/>
        <v>3149199.84</v>
      </c>
      <c r="G107" s="30">
        <f t="shared" si="26"/>
        <v>86.609300337182702</v>
      </c>
      <c r="H107" s="30">
        <f t="shared" si="27"/>
        <v>68.783534161486699</v>
      </c>
    </row>
    <row r="108" spans="1:8" x14ac:dyDescent="0.25">
      <c r="A108" s="2" t="s">
        <v>26</v>
      </c>
      <c r="B108" s="26">
        <v>23632300</v>
      </c>
      <c r="C108" s="26">
        <v>28226726</v>
      </c>
      <c r="D108" s="26">
        <f>20428515+196811</f>
        <v>20625326</v>
      </c>
      <c r="E108" s="26">
        <v>16760810.140000001</v>
      </c>
      <c r="F108" s="26">
        <f t="shared" si="24"/>
        <v>3864515.8599999994</v>
      </c>
      <c r="G108" s="30">
        <f t="shared" si="26"/>
        <v>81.263249560273621</v>
      </c>
      <c r="H108" s="30">
        <f t="shared" si="27"/>
        <v>59.379221451329499</v>
      </c>
    </row>
    <row r="109" spans="1:8" s="3" customFormat="1" ht="28.5" customHeight="1" x14ac:dyDescent="0.25">
      <c r="A109" s="21" t="s">
        <v>34</v>
      </c>
      <c r="B109" s="24">
        <f>B110+B112+B115</f>
        <v>516682100</v>
      </c>
      <c r="C109" s="24">
        <f>C110+C112+C115</f>
        <v>625611070</v>
      </c>
      <c r="D109" s="24">
        <f t="shared" ref="D109:E109" si="36">D110+D112+D115</f>
        <v>399793187</v>
      </c>
      <c r="E109" s="24">
        <f t="shared" si="36"/>
        <v>384147489.64000005</v>
      </c>
      <c r="F109" s="24">
        <f t="shared" si="24"/>
        <v>15645697.359999955</v>
      </c>
      <c r="G109" s="29">
        <f t="shared" si="26"/>
        <v>96.086552280341891</v>
      </c>
      <c r="H109" s="29">
        <f t="shared" si="27"/>
        <v>61.403563341678094</v>
      </c>
    </row>
    <row r="110" spans="1:8" s="15" customFormat="1" x14ac:dyDescent="0.25">
      <c r="A110" s="14" t="s">
        <v>10</v>
      </c>
      <c r="B110" s="25">
        <f t="shared" ref="B110:D110" si="37">B111</f>
        <v>280299200</v>
      </c>
      <c r="C110" s="25">
        <f t="shared" si="37"/>
        <v>297978373</v>
      </c>
      <c r="D110" s="25">
        <f t="shared" si="37"/>
        <v>202336197</v>
      </c>
      <c r="E110" s="25">
        <f>E111</f>
        <v>197056165.77000001</v>
      </c>
      <c r="F110" s="25">
        <f t="shared" si="24"/>
        <v>5280031.2299999893</v>
      </c>
      <c r="G110" s="31">
        <f t="shared" si="26"/>
        <v>97.390466308902717</v>
      </c>
      <c r="H110" s="31">
        <f t="shared" si="27"/>
        <v>66.131029505956789</v>
      </c>
    </row>
    <row r="111" spans="1:8" ht="17.25" customHeight="1" x14ac:dyDescent="0.25">
      <c r="A111" s="2" t="s">
        <v>3</v>
      </c>
      <c r="B111" s="26">
        <v>280299200</v>
      </c>
      <c r="C111" s="26">
        <v>297978373</v>
      </c>
      <c r="D111" s="26">
        <v>202336197</v>
      </c>
      <c r="E111" s="26">
        <v>197056165.77000001</v>
      </c>
      <c r="F111" s="26">
        <f t="shared" si="24"/>
        <v>5280031.2299999893</v>
      </c>
      <c r="G111" s="30">
        <f t="shared" si="26"/>
        <v>97.390466308902717</v>
      </c>
      <c r="H111" s="30">
        <f t="shared" si="27"/>
        <v>66.131029505956789</v>
      </c>
    </row>
    <row r="112" spans="1:8" s="15" customFormat="1" x14ac:dyDescent="0.25">
      <c r="A112" s="14" t="s">
        <v>11</v>
      </c>
      <c r="B112" s="25">
        <f t="shared" ref="B112:D112" si="38">SUM(B113:B114)</f>
        <v>234382300</v>
      </c>
      <c r="C112" s="25">
        <f t="shared" ref="C112" si="39">SUM(C113:C114)</f>
        <v>309076489</v>
      </c>
      <c r="D112" s="25">
        <f t="shared" si="38"/>
        <v>188477388</v>
      </c>
      <c r="E112" s="25">
        <f>SUM(E113:E114)</f>
        <v>182421499.38000003</v>
      </c>
      <c r="F112" s="25">
        <f t="shared" si="24"/>
        <v>6055888.619999975</v>
      </c>
      <c r="G112" s="31">
        <f t="shared" si="26"/>
        <v>96.78694156139305</v>
      </c>
      <c r="H112" s="31">
        <f t="shared" si="27"/>
        <v>59.02147393035775</v>
      </c>
    </row>
    <row r="113" spans="1:8" ht="25.5" x14ac:dyDescent="0.25">
      <c r="A113" s="2" t="s">
        <v>24</v>
      </c>
      <c r="B113" s="26">
        <v>0</v>
      </c>
      <c r="C113" s="26">
        <v>5757935</v>
      </c>
      <c r="D113" s="26">
        <v>5730307</v>
      </c>
      <c r="E113" s="26">
        <v>0</v>
      </c>
      <c r="F113" s="26">
        <f t="shared" si="24"/>
        <v>5730307</v>
      </c>
      <c r="G113" s="30">
        <f t="shared" si="26"/>
        <v>0</v>
      </c>
      <c r="H113" s="30">
        <f t="shared" si="27"/>
        <v>0</v>
      </c>
    </row>
    <row r="114" spans="1:8" ht="14.25" customHeight="1" x14ac:dyDescent="0.25">
      <c r="A114" s="2" t="s">
        <v>3</v>
      </c>
      <c r="B114" s="26">
        <v>234382300</v>
      </c>
      <c r="C114" s="26">
        <v>303318554</v>
      </c>
      <c r="D114" s="26">
        <f>25085521+157661560</f>
        <v>182747081</v>
      </c>
      <c r="E114" s="26">
        <f>25085520.8+157335978.58</f>
        <v>182421499.38000003</v>
      </c>
      <c r="F114" s="26">
        <f t="shared" si="24"/>
        <v>325581.61999997497</v>
      </c>
      <c r="G114" s="30">
        <f t="shared" si="26"/>
        <v>99.821840317110201</v>
      </c>
      <c r="H114" s="30">
        <f t="shared" si="27"/>
        <v>60.141886137305015</v>
      </c>
    </row>
    <row r="115" spans="1:8" s="15" customFormat="1" ht="14.25" customHeight="1" x14ac:dyDescent="0.25">
      <c r="A115" s="14" t="s">
        <v>53</v>
      </c>
      <c r="B115" s="25">
        <f>B117</f>
        <v>2000600</v>
      </c>
      <c r="C115" s="25">
        <f>SUM(C116:C117)</f>
        <v>18556208</v>
      </c>
      <c r="D115" s="25">
        <f t="shared" ref="D115:E115" si="40">D117</f>
        <v>8979602</v>
      </c>
      <c r="E115" s="25">
        <f t="shared" si="40"/>
        <v>4669824.49</v>
      </c>
      <c r="F115" s="25">
        <f t="shared" si="24"/>
        <v>4309777.51</v>
      </c>
      <c r="G115" s="31">
        <f t="shared" si="26"/>
        <v>52.004804778652783</v>
      </c>
      <c r="H115" s="31">
        <f t="shared" si="27"/>
        <v>25.165833935467852</v>
      </c>
    </row>
    <row r="116" spans="1:8" ht="26.25" customHeight="1" x14ac:dyDescent="0.25">
      <c r="A116" s="2" t="s">
        <v>24</v>
      </c>
      <c r="B116" s="26">
        <v>0</v>
      </c>
      <c r="C116" s="26">
        <v>1420038</v>
      </c>
      <c r="D116" s="26">
        <v>0</v>
      </c>
      <c r="E116" s="26">
        <v>0</v>
      </c>
      <c r="F116" s="26">
        <f t="shared" si="24"/>
        <v>0</v>
      </c>
      <c r="G116" s="30">
        <v>0</v>
      </c>
      <c r="H116" s="30">
        <f t="shared" si="27"/>
        <v>0</v>
      </c>
    </row>
    <row r="117" spans="1:8" ht="14.25" customHeight="1" x14ac:dyDescent="0.25">
      <c r="A117" s="2" t="s">
        <v>3</v>
      </c>
      <c r="B117" s="26">
        <v>2000600</v>
      </c>
      <c r="C117" s="26">
        <v>17136170</v>
      </c>
      <c r="D117" s="26">
        <v>8979602</v>
      </c>
      <c r="E117" s="26">
        <v>4669824.49</v>
      </c>
      <c r="F117" s="26">
        <f t="shared" si="24"/>
        <v>4309777.51</v>
      </c>
      <c r="G117" s="30">
        <f t="shared" si="26"/>
        <v>52.004804778652783</v>
      </c>
      <c r="H117" s="30">
        <f t="shared" si="27"/>
        <v>27.251273125791819</v>
      </c>
    </row>
    <row r="118" spans="1:8" s="3" customFormat="1" ht="27.75" customHeight="1" x14ac:dyDescent="0.25">
      <c r="A118" s="22" t="s">
        <v>35</v>
      </c>
      <c r="B118" s="24">
        <f>B119+B121</f>
        <v>85062400</v>
      </c>
      <c r="C118" s="24">
        <f>C119+C121</f>
        <v>88876279</v>
      </c>
      <c r="D118" s="24">
        <f t="shared" ref="D118:E118" si="41">D119+D121</f>
        <v>71307631</v>
      </c>
      <c r="E118" s="24">
        <f t="shared" si="41"/>
        <v>51938512.549999997</v>
      </c>
      <c r="F118" s="24">
        <f t="shared" si="24"/>
        <v>19369118.450000003</v>
      </c>
      <c r="G118" s="29">
        <f t="shared" si="26"/>
        <v>72.837243113573635</v>
      </c>
      <c r="H118" s="29">
        <f t="shared" si="27"/>
        <v>58.439116864917352</v>
      </c>
    </row>
    <row r="119" spans="1:8" s="15" customFormat="1" x14ac:dyDescent="0.25">
      <c r="A119" s="16" t="s">
        <v>5</v>
      </c>
      <c r="B119" s="25">
        <f t="shared" ref="B119:D119" si="42">B120</f>
        <v>69623000</v>
      </c>
      <c r="C119" s="25">
        <f t="shared" si="42"/>
        <v>73424679</v>
      </c>
      <c r="D119" s="25">
        <f t="shared" si="42"/>
        <v>55952855</v>
      </c>
      <c r="E119" s="25">
        <f>E120</f>
        <v>51009914.229999997</v>
      </c>
      <c r="F119" s="25">
        <f t="shared" si="24"/>
        <v>4942940.7700000033</v>
      </c>
      <c r="G119" s="31">
        <f t="shared" si="26"/>
        <v>91.165882831179928</v>
      </c>
      <c r="H119" s="31">
        <f t="shared" si="27"/>
        <v>69.47243750292732</v>
      </c>
    </row>
    <row r="120" spans="1:8" x14ac:dyDescent="0.25">
      <c r="A120" s="4" t="s">
        <v>6</v>
      </c>
      <c r="B120" s="26">
        <v>69623000</v>
      </c>
      <c r="C120" s="26">
        <v>73424679</v>
      </c>
      <c r="D120" s="26">
        <v>55952855</v>
      </c>
      <c r="E120" s="26">
        <v>51009914.229999997</v>
      </c>
      <c r="F120" s="26">
        <f t="shared" si="24"/>
        <v>4942940.7700000033</v>
      </c>
      <c r="G120" s="30">
        <f t="shared" si="26"/>
        <v>91.165882831179928</v>
      </c>
      <c r="H120" s="30">
        <f t="shared" si="27"/>
        <v>69.47243750292732</v>
      </c>
    </row>
    <row r="121" spans="1:8" s="15" customFormat="1" x14ac:dyDescent="0.25">
      <c r="A121" s="16" t="s">
        <v>62</v>
      </c>
      <c r="B121" s="25">
        <f>B122</f>
        <v>15439400</v>
      </c>
      <c r="C121" s="25">
        <f>C122</f>
        <v>15451600</v>
      </c>
      <c r="D121" s="25">
        <f t="shared" ref="D121:E121" si="43">D122</f>
        <v>15354776</v>
      </c>
      <c r="E121" s="25">
        <f t="shared" si="43"/>
        <v>928598.32</v>
      </c>
      <c r="F121" s="25">
        <f t="shared" si="24"/>
        <v>14426177.68</v>
      </c>
      <c r="G121" s="31">
        <f t="shared" si="26"/>
        <v>6.0476187995187942</v>
      </c>
      <c r="H121" s="31">
        <f t="shared" si="27"/>
        <v>6.0097227471588699</v>
      </c>
    </row>
    <row r="122" spans="1:8" x14ac:dyDescent="0.25">
      <c r="A122" s="4" t="s">
        <v>6</v>
      </c>
      <c r="B122" s="26">
        <v>15439400</v>
      </c>
      <c r="C122" s="26">
        <v>15451600</v>
      </c>
      <c r="D122" s="26">
        <v>15354776</v>
      </c>
      <c r="E122" s="26">
        <v>928598.32</v>
      </c>
      <c r="F122" s="26">
        <f t="shared" si="24"/>
        <v>14426177.68</v>
      </c>
      <c r="G122" s="30">
        <f t="shared" si="26"/>
        <v>6.0476187995187942</v>
      </c>
      <c r="H122" s="30">
        <f t="shared" si="27"/>
        <v>6.0097227471588699</v>
      </c>
    </row>
    <row r="123" spans="1:8" s="3" customFormat="1" ht="28.5" customHeight="1" x14ac:dyDescent="0.25">
      <c r="A123" s="22" t="s">
        <v>36</v>
      </c>
      <c r="B123" s="24">
        <f>SUM(B124:B125)</f>
        <v>53309000</v>
      </c>
      <c r="C123" s="24">
        <f>SUM(C124:C126)</f>
        <v>72667282</v>
      </c>
      <c r="D123" s="24">
        <f t="shared" ref="D123:E123" si="44">SUM(D124:D126)</f>
        <v>59995141</v>
      </c>
      <c r="E123" s="24">
        <f t="shared" si="44"/>
        <v>46337624.149999999</v>
      </c>
      <c r="F123" s="24">
        <f t="shared" si="24"/>
        <v>13657516.850000001</v>
      </c>
      <c r="G123" s="29">
        <f t="shared" si="26"/>
        <v>77.235628381971793</v>
      </c>
      <c r="H123" s="29">
        <f t="shared" si="27"/>
        <v>63.766832712967023</v>
      </c>
    </row>
    <row r="124" spans="1:8" x14ac:dyDescent="0.25">
      <c r="A124" s="2" t="s">
        <v>26</v>
      </c>
      <c r="B124" s="26">
        <v>53309000</v>
      </c>
      <c r="C124" s="26">
        <v>65367948</v>
      </c>
      <c r="D124" s="26">
        <f>13092762+39603045</f>
        <v>52695807</v>
      </c>
      <c r="E124" s="26">
        <f>3378717.29+37117218.21</f>
        <v>40495935.5</v>
      </c>
      <c r="F124" s="26">
        <f t="shared" si="24"/>
        <v>12199871.5</v>
      </c>
      <c r="G124" s="30">
        <f t="shared" si="26"/>
        <v>76.848496693484549</v>
      </c>
      <c r="H124" s="30">
        <f t="shared" si="27"/>
        <v>61.950752224928337</v>
      </c>
    </row>
    <row r="125" spans="1:8" ht="25.5" x14ac:dyDescent="0.25">
      <c r="A125" s="2" t="s">
        <v>24</v>
      </c>
      <c r="B125" s="26">
        <v>0</v>
      </c>
      <c r="C125" s="26">
        <v>7201695</v>
      </c>
      <c r="D125" s="26">
        <v>7201695</v>
      </c>
      <c r="E125" s="26">
        <v>5744049.6500000004</v>
      </c>
      <c r="F125" s="26">
        <f t="shared" si="24"/>
        <v>1457645.3499999996</v>
      </c>
      <c r="G125" s="30">
        <f t="shared" si="26"/>
        <v>79.759690600615556</v>
      </c>
      <c r="H125" s="30">
        <f t="shared" si="27"/>
        <v>79.759690600615556</v>
      </c>
    </row>
    <row r="126" spans="1:8" ht="25.5" x14ac:dyDescent="0.25">
      <c r="A126" s="2" t="s">
        <v>3</v>
      </c>
      <c r="B126" s="26"/>
      <c r="C126" s="26">
        <v>97639</v>
      </c>
      <c r="D126" s="26">
        <v>97639</v>
      </c>
      <c r="E126" s="26">
        <v>97639</v>
      </c>
      <c r="F126" s="26">
        <f t="shared" si="24"/>
        <v>0</v>
      </c>
      <c r="G126" s="30">
        <f t="shared" si="26"/>
        <v>100</v>
      </c>
      <c r="H126" s="30">
        <f t="shared" si="27"/>
        <v>100</v>
      </c>
    </row>
    <row r="127" spans="1:8" s="3" customFormat="1" ht="41.25" customHeight="1" x14ac:dyDescent="0.25">
      <c r="A127" s="22" t="s">
        <v>37</v>
      </c>
      <c r="B127" s="28">
        <f>B128+B132</f>
        <v>660100</v>
      </c>
      <c r="C127" s="24">
        <f>C128+C132</f>
        <v>660100</v>
      </c>
      <c r="D127" s="24">
        <f t="shared" ref="D127:E127" si="45">D128+D132</f>
        <v>451200</v>
      </c>
      <c r="E127" s="24">
        <f t="shared" si="45"/>
        <v>417329</v>
      </c>
      <c r="F127" s="24">
        <f t="shared" si="24"/>
        <v>33871</v>
      </c>
      <c r="G127" s="29">
        <f t="shared" si="26"/>
        <v>92.493129432624116</v>
      </c>
      <c r="H127" s="29">
        <f t="shared" si="27"/>
        <v>63.222087562490536</v>
      </c>
    </row>
    <row r="128" spans="1:8" s="15" customFormat="1" ht="69" customHeight="1" x14ac:dyDescent="0.25">
      <c r="A128" s="16" t="s">
        <v>66</v>
      </c>
      <c r="B128" s="25">
        <f>SUM(B129:B131)</f>
        <v>260150</v>
      </c>
      <c r="C128" s="25">
        <f>SUM(C129:C131)</f>
        <v>260150</v>
      </c>
      <c r="D128" s="25">
        <f>SUM(D129:D131)</f>
        <v>171250</v>
      </c>
      <c r="E128" s="25">
        <f>SUM(E129:E131)</f>
        <v>170494</v>
      </c>
      <c r="F128" s="25">
        <f t="shared" si="24"/>
        <v>756</v>
      </c>
      <c r="G128" s="31">
        <f t="shared" si="26"/>
        <v>99.558540145985404</v>
      </c>
      <c r="H128" s="31">
        <f t="shared" si="27"/>
        <v>65.536805689025556</v>
      </c>
    </row>
    <row r="129" spans="1:8" x14ac:dyDescent="0.25">
      <c r="A129" s="4" t="s">
        <v>18</v>
      </c>
      <c r="B129" s="26">
        <v>104500</v>
      </c>
      <c r="C129" s="26">
        <v>104500</v>
      </c>
      <c r="D129" s="26">
        <v>104500</v>
      </c>
      <c r="E129" s="26">
        <v>104494</v>
      </c>
      <c r="F129" s="26">
        <f t="shared" si="24"/>
        <v>6</v>
      </c>
      <c r="G129" s="30">
        <f t="shared" si="26"/>
        <v>99.994258373205753</v>
      </c>
      <c r="H129" s="30">
        <f t="shared" si="27"/>
        <v>99.994258373205753</v>
      </c>
    </row>
    <row r="130" spans="1:8" ht="15.75" customHeight="1" x14ac:dyDescent="0.25">
      <c r="A130" s="4" t="s">
        <v>22</v>
      </c>
      <c r="B130" s="26">
        <v>66750</v>
      </c>
      <c r="C130" s="26">
        <v>66750</v>
      </c>
      <c r="D130" s="26">
        <f>26700+40050</f>
        <v>66750</v>
      </c>
      <c r="E130" s="26">
        <f>26400+39600</f>
        <v>66000</v>
      </c>
      <c r="F130" s="26">
        <f t="shared" si="24"/>
        <v>750</v>
      </c>
      <c r="G130" s="30">
        <f t="shared" si="26"/>
        <v>98.876404494382015</v>
      </c>
      <c r="H130" s="30">
        <f t="shared" si="27"/>
        <v>98.876404494382015</v>
      </c>
    </row>
    <row r="131" spans="1:8" x14ac:dyDescent="0.25">
      <c r="A131" s="11" t="s">
        <v>25</v>
      </c>
      <c r="B131" s="26">
        <v>88900</v>
      </c>
      <c r="C131" s="26">
        <v>88900</v>
      </c>
      <c r="D131" s="26">
        <v>0</v>
      </c>
      <c r="E131" s="26">
        <v>0</v>
      </c>
      <c r="F131" s="26">
        <f t="shared" si="24"/>
        <v>0</v>
      </c>
      <c r="G131" s="30">
        <v>0</v>
      </c>
      <c r="H131" s="30">
        <f t="shared" si="27"/>
        <v>0</v>
      </c>
    </row>
    <row r="132" spans="1:8" s="15" customFormat="1" ht="27" x14ac:dyDescent="0.25">
      <c r="A132" s="27" t="s">
        <v>54</v>
      </c>
      <c r="B132" s="25">
        <f>B133</f>
        <v>399950</v>
      </c>
      <c r="C132" s="25">
        <f>C133</f>
        <v>399950</v>
      </c>
      <c r="D132" s="25">
        <f t="shared" ref="D132:E132" si="46">D133</f>
        <v>279950</v>
      </c>
      <c r="E132" s="25">
        <f t="shared" si="46"/>
        <v>246835</v>
      </c>
      <c r="F132" s="25">
        <f t="shared" si="24"/>
        <v>33115</v>
      </c>
      <c r="G132" s="31">
        <f t="shared" si="26"/>
        <v>88.171101982496864</v>
      </c>
      <c r="H132" s="31">
        <f t="shared" si="27"/>
        <v>61.71646455806976</v>
      </c>
    </row>
    <row r="133" spans="1:8" ht="25.5" x14ac:dyDescent="0.25">
      <c r="A133" s="4" t="s">
        <v>22</v>
      </c>
      <c r="B133" s="26">
        <v>399950</v>
      </c>
      <c r="C133" s="26">
        <v>399950</v>
      </c>
      <c r="D133" s="26">
        <v>279950</v>
      </c>
      <c r="E133" s="26">
        <v>246835</v>
      </c>
      <c r="F133" s="26">
        <f t="shared" si="24"/>
        <v>33115</v>
      </c>
      <c r="G133" s="30">
        <f t="shared" si="26"/>
        <v>88.171101982496864</v>
      </c>
      <c r="H133" s="30">
        <f t="shared" si="27"/>
        <v>61.71646455806976</v>
      </c>
    </row>
    <row r="134" spans="1:8" s="3" customFormat="1" x14ac:dyDescent="0.25">
      <c r="A134" s="23" t="s">
        <v>63</v>
      </c>
      <c r="B134" s="24">
        <f>SUM(B135:B137)</f>
        <v>1597000</v>
      </c>
      <c r="C134" s="24">
        <f>SUM(C135:C139)</f>
        <v>16630053</v>
      </c>
      <c r="D134" s="24">
        <f t="shared" ref="D134:E134" si="47">SUM(D135:D139)</f>
        <v>11961689</v>
      </c>
      <c r="E134" s="24">
        <f t="shared" si="47"/>
        <v>7977414.4500000002</v>
      </c>
      <c r="F134" s="24">
        <f t="shared" ref="F134:F143" si="48">D134-E134</f>
        <v>3984274.55</v>
      </c>
      <c r="G134" s="29">
        <f t="shared" si="26"/>
        <v>66.691371511163695</v>
      </c>
      <c r="H134" s="29">
        <f t="shared" si="27"/>
        <v>47.969867865123462</v>
      </c>
    </row>
    <row r="135" spans="1:8" ht="25.5" x14ac:dyDescent="0.25">
      <c r="A135" s="4" t="s">
        <v>22</v>
      </c>
      <c r="B135" s="26">
        <v>500000</v>
      </c>
      <c r="C135" s="26">
        <v>12859669</v>
      </c>
      <c r="D135" s="26">
        <f>20000+9225435</f>
        <v>9245435</v>
      </c>
      <c r="E135" s="26">
        <f>16000+6859594.45</f>
        <v>6875594.4500000002</v>
      </c>
      <c r="F135" s="26">
        <f t="shared" si="48"/>
        <v>2369840.5499999998</v>
      </c>
      <c r="G135" s="30">
        <f t="shared" si="26"/>
        <v>74.367452153414092</v>
      </c>
      <c r="H135" s="30">
        <f t="shared" si="27"/>
        <v>53.466340774400955</v>
      </c>
    </row>
    <row r="136" spans="1:8" x14ac:dyDescent="0.25">
      <c r="A136" s="11" t="s">
        <v>25</v>
      </c>
      <c r="B136" s="26">
        <v>597000</v>
      </c>
      <c r="C136" s="26">
        <v>2103270</v>
      </c>
      <c r="D136" s="26">
        <f>27840+2040100</f>
        <v>2067940</v>
      </c>
      <c r="E136" s="26">
        <f>20240+544600</f>
        <v>564840</v>
      </c>
      <c r="F136" s="26">
        <f t="shared" si="48"/>
        <v>1503100</v>
      </c>
      <c r="G136" s="30">
        <f t="shared" ref="G136:G143" si="49">(E136/D136)*100</f>
        <v>27.314138708086311</v>
      </c>
      <c r="H136" s="30">
        <f t="shared" ref="H136:H143" si="50">(E136/C136)*100</f>
        <v>26.855325279208092</v>
      </c>
    </row>
    <row r="137" spans="1:8" x14ac:dyDescent="0.25">
      <c r="A137" s="2" t="s">
        <v>4</v>
      </c>
      <c r="B137" s="26">
        <v>500000</v>
      </c>
      <c r="C137" s="26">
        <v>1518800</v>
      </c>
      <c r="D137" s="26">
        <f>10000+490000</f>
        <v>500000</v>
      </c>
      <c r="E137" s="26">
        <v>488000</v>
      </c>
      <c r="F137" s="26">
        <f t="shared" si="48"/>
        <v>12000</v>
      </c>
      <c r="G137" s="30">
        <f t="shared" si="49"/>
        <v>97.6</v>
      </c>
      <c r="H137" s="30">
        <f t="shared" si="50"/>
        <v>32.13062944429813</v>
      </c>
    </row>
    <row r="138" spans="1:8" ht="25.5" x14ac:dyDescent="0.25">
      <c r="A138" s="2" t="s">
        <v>24</v>
      </c>
      <c r="B138" s="26">
        <v>0</v>
      </c>
      <c r="C138" s="26">
        <v>48980</v>
      </c>
      <c r="D138" s="26">
        <v>48980</v>
      </c>
      <c r="E138" s="26">
        <v>48980</v>
      </c>
      <c r="F138" s="26">
        <f t="shared" si="48"/>
        <v>0</v>
      </c>
      <c r="G138" s="30">
        <f t="shared" si="49"/>
        <v>100</v>
      </c>
      <c r="H138" s="30">
        <f t="shared" si="50"/>
        <v>100</v>
      </c>
    </row>
    <row r="139" spans="1:8" ht="25.5" x14ac:dyDescent="0.25">
      <c r="A139" s="2" t="s">
        <v>3</v>
      </c>
      <c r="B139" s="26">
        <v>0</v>
      </c>
      <c r="C139" s="26">
        <v>99334</v>
      </c>
      <c r="D139" s="26">
        <v>99334</v>
      </c>
      <c r="E139" s="26">
        <v>0</v>
      </c>
      <c r="F139" s="26">
        <f t="shared" si="48"/>
        <v>99334</v>
      </c>
      <c r="G139" s="30">
        <f t="shared" si="49"/>
        <v>0</v>
      </c>
      <c r="H139" s="30">
        <f t="shared" si="50"/>
        <v>0</v>
      </c>
    </row>
    <row r="140" spans="1:8" s="3" customFormat="1" ht="39" customHeight="1" x14ac:dyDescent="0.25">
      <c r="A140" s="21" t="s">
        <v>38</v>
      </c>
      <c r="B140" s="24">
        <f>SUM(B141:B142)</f>
        <v>4414200</v>
      </c>
      <c r="C140" s="24">
        <f t="shared" ref="C140" si="51">SUM(C141:C142)</f>
        <v>4414200</v>
      </c>
      <c r="D140" s="24">
        <f t="shared" ref="D140" si="52">SUM(D141:D142)</f>
        <v>3892800</v>
      </c>
      <c r="E140" s="24">
        <f>SUM(E141:E142)</f>
        <v>3892517.38</v>
      </c>
      <c r="F140" s="24">
        <f t="shared" si="48"/>
        <v>282.62000000011176</v>
      </c>
      <c r="G140" s="29">
        <f t="shared" si="49"/>
        <v>99.992739930127414</v>
      </c>
      <c r="H140" s="29">
        <f t="shared" si="50"/>
        <v>88.181717638530202</v>
      </c>
    </row>
    <row r="141" spans="1:8" x14ac:dyDescent="0.25">
      <c r="A141" s="2" t="s">
        <v>18</v>
      </c>
      <c r="B141" s="26">
        <v>2950000</v>
      </c>
      <c r="C141" s="26">
        <v>2950000</v>
      </c>
      <c r="D141" s="26">
        <v>2950000</v>
      </c>
      <c r="E141" s="26">
        <v>2950000</v>
      </c>
      <c r="F141" s="26">
        <f t="shared" si="48"/>
        <v>0</v>
      </c>
      <c r="G141" s="30">
        <f t="shared" si="49"/>
        <v>100</v>
      </c>
      <c r="H141" s="30">
        <f t="shared" si="50"/>
        <v>100</v>
      </c>
    </row>
    <row r="142" spans="1:8" ht="28.5" customHeight="1" x14ac:dyDescent="0.25">
      <c r="A142" s="2" t="s">
        <v>22</v>
      </c>
      <c r="B142" s="26">
        <v>1464200</v>
      </c>
      <c r="C142" s="26">
        <v>1464200</v>
      </c>
      <c r="D142" s="26">
        <v>942800</v>
      </c>
      <c r="E142" s="26">
        <v>942517.38</v>
      </c>
      <c r="F142" s="26">
        <f t="shared" si="48"/>
        <v>282.61999999999534</v>
      </c>
      <c r="G142" s="30">
        <f t="shared" si="49"/>
        <v>99.970023334747566</v>
      </c>
      <c r="H142" s="30">
        <f t="shared" si="50"/>
        <v>64.370808632700445</v>
      </c>
    </row>
    <row r="143" spans="1:8" s="18" customFormat="1" ht="12.75" x14ac:dyDescent="0.2">
      <c r="A143" s="17" t="s">
        <v>16</v>
      </c>
      <c r="B143" s="24">
        <f>B5+B27+B30+B36+B45+B58+B79+B85+B98+B109+B118+B123+B127+B140+B21+B134</f>
        <v>10850315528</v>
      </c>
      <c r="C143" s="24">
        <f>C5+C27+C30+C36+C45+C58+C79+C85+C98+C109+C118+C123+C127+C140+C21+C134</f>
        <v>11887015141.52</v>
      </c>
      <c r="D143" s="24">
        <f t="shared" ref="D143:E143" si="53">D5+D27+D30+D36+D45+D58+D79+D85+D98+D109+D118+D123+D127+D140+D21+D134</f>
        <v>7471299408.04</v>
      </c>
      <c r="E143" s="24">
        <f t="shared" si="53"/>
        <v>5782016160.5900002</v>
      </c>
      <c r="F143" s="24">
        <f t="shared" si="48"/>
        <v>1689283247.4499998</v>
      </c>
      <c r="G143" s="29">
        <f t="shared" si="49"/>
        <v>77.38969949949896</v>
      </c>
      <c r="H143" s="29">
        <f t="shared" si="50"/>
        <v>48.641446921305509</v>
      </c>
    </row>
    <row r="145" spans="3:8" x14ac:dyDescent="0.25">
      <c r="E145" s="12"/>
      <c r="G145" s="12"/>
      <c r="H145" s="12"/>
    </row>
    <row r="146" spans="3:8" x14ac:dyDescent="0.25">
      <c r="C146" s="13"/>
    </row>
    <row r="147" spans="3:8" x14ac:dyDescent="0.25">
      <c r="C147" s="13"/>
      <c r="G147" s="12"/>
    </row>
  </sheetData>
  <autoFilter ref="A4:H143"/>
  <mergeCells count="1">
    <mergeCell ref="A1:G1"/>
  </mergeCells>
  <pageMargins left="0.51181102362204722" right="0.51181102362204722" top="0.74803149606299213" bottom="0.39370078740157483" header="0.31496062992125984" footer="0.31496062992125984"/>
  <pageSetup paperSize="9" scale="75" fitToWidth="0" fitToHeight="0" orientation="landscape" r:id="rId1"/>
  <headerFooter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программы</vt:lpstr>
      <vt:lpstr>Лист2</vt:lpstr>
      <vt:lpstr>Лист3</vt:lpstr>
      <vt:lpstr>программы!Заголовки_для_печати</vt:lpstr>
      <vt:lpstr>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2021-11-11T10:06:44Z</cp:lastPrinted>
  <dcterms:created xsi:type="dcterms:W3CDTF">2014-05-23T06:49:41Z</dcterms:created>
  <dcterms:modified xsi:type="dcterms:W3CDTF">2021-11-22T09:19:11Z</dcterms:modified>
</cp:coreProperties>
</file>