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1 год\Отчёты в 2021 году\Отчёт за 1 полугодие 2021 года\Отчёт с приложениями и аналитической запиской 1 полугодие 2021 года\"/>
    </mc:Choice>
  </mc:AlternateContent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программы!$A$4:$H$142</definedName>
    <definedName name="_xlnm.Print_Titles" localSheetId="0">программы!$3:$4</definedName>
    <definedName name="_xlnm.Print_Area" localSheetId="0">программы!$A$1:$H$142</definedName>
  </definedNames>
  <calcPr calcId="152511"/>
</workbook>
</file>

<file path=xl/calcChain.xml><?xml version="1.0" encoding="utf-8"?>
<calcChain xmlns="http://schemas.openxmlformats.org/spreadsheetml/2006/main">
  <c r="E135" i="4" l="1"/>
  <c r="D135" i="4"/>
  <c r="E134" i="4"/>
  <c r="D134" i="4"/>
  <c r="D133" i="4"/>
  <c r="E133" i="4"/>
  <c r="E129" i="4"/>
  <c r="D129" i="4"/>
  <c r="E123" i="4"/>
  <c r="D122" i="4"/>
  <c r="E122" i="4"/>
  <c r="D123" i="4"/>
  <c r="E106" i="4"/>
  <c r="D106" i="4"/>
  <c r="F106" i="4" s="1"/>
  <c r="D98" i="4"/>
  <c r="E98" i="4"/>
  <c r="F98" i="4" s="1"/>
  <c r="F8" i="4"/>
  <c r="F9" i="4"/>
  <c r="F11" i="4"/>
  <c r="F13" i="4"/>
  <c r="F15" i="4"/>
  <c r="F17" i="4"/>
  <c r="F18" i="4"/>
  <c r="F20" i="4"/>
  <c r="F23" i="4"/>
  <c r="F24" i="4"/>
  <c r="F26" i="4"/>
  <c r="F28" i="4"/>
  <c r="F29" i="4"/>
  <c r="F32" i="4"/>
  <c r="F33" i="4"/>
  <c r="F35" i="4"/>
  <c r="F38" i="4"/>
  <c r="F39" i="4"/>
  <c r="F41" i="4"/>
  <c r="F42" i="4"/>
  <c r="F44" i="4"/>
  <c r="F47" i="4"/>
  <c r="F48" i="4"/>
  <c r="F50" i="4"/>
  <c r="F51" i="4"/>
  <c r="F53" i="4"/>
  <c r="F54" i="4"/>
  <c r="F56" i="4"/>
  <c r="F59" i="4"/>
  <c r="F60" i="4"/>
  <c r="F62" i="4"/>
  <c r="F63" i="4"/>
  <c r="F65" i="4"/>
  <c r="F66" i="4"/>
  <c r="F67" i="4"/>
  <c r="F68" i="4"/>
  <c r="F69" i="4"/>
  <c r="F70" i="4"/>
  <c r="F72" i="4"/>
  <c r="F73" i="4"/>
  <c r="F75" i="4"/>
  <c r="F77" i="4"/>
  <c r="F80" i="4"/>
  <c r="F81" i="4"/>
  <c r="F83" i="4"/>
  <c r="F86" i="4"/>
  <c r="F87" i="4"/>
  <c r="F89" i="4"/>
  <c r="F90" i="4"/>
  <c r="F91" i="4"/>
  <c r="F92" i="4"/>
  <c r="F93" i="4"/>
  <c r="F94" i="4"/>
  <c r="F95" i="4"/>
  <c r="F96" i="4"/>
  <c r="F99" i="4"/>
  <c r="F100" i="4"/>
  <c r="F102" i="4"/>
  <c r="F104" i="4"/>
  <c r="F107" i="4"/>
  <c r="F110" i="4"/>
  <c r="F112" i="4"/>
  <c r="F113" i="4"/>
  <c r="F115" i="4"/>
  <c r="F116" i="4"/>
  <c r="F119" i="4"/>
  <c r="F121" i="4"/>
  <c r="F123" i="4"/>
  <c r="F124" i="4"/>
  <c r="F125" i="4"/>
  <c r="F128" i="4"/>
  <c r="F129" i="4"/>
  <c r="F130" i="4"/>
  <c r="F132" i="4"/>
  <c r="F134" i="4"/>
  <c r="F135" i="4"/>
  <c r="F136" i="4"/>
  <c r="F137" i="4"/>
  <c r="F138" i="4"/>
  <c r="F140" i="4"/>
  <c r="F141" i="4"/>
  <c r="G8" i="4"/>
  <c r="H8" i="4"/>
  <c r="H9" i="4"/>
  <c r="G11" i="4"/>
  <c r="H11" i="4"/>
  <c r="G13" i="4"/>
  <c r="H13" i="4"/>
  <c r="G15" i="4"/>
  <c r="H15" i="4"/>
  <c r="G17" i="4"/>
  <c r="H17" i="4"/>
  <c r="H18" i="4"/>
  <c r="G20" i="4"/>
  <c r="H20" i="4"/>
  <c r="G23" i="4"/>
  <c r="H23" i="4"/>
  <c r="G24" i="4"/>
  <c r="H24" i="4"/>
  <c r="G26" i="4"/>
  <c r="H26" i="4"/>
  <c r="G28" i="4"/>
  <c r="H28" i="4"/>
  <c r="G29" i="4"/>
  <c r="H29" i="4"/>
  <c r="G32" i="4"/>
  <c r="H32" i="4"/>
  <c r="G33" i="4"/>
  <c r="H33" i="4"/>
  <c r="G35" i="4"/>
  <c r="H35" i="4"/>
  <c r="G38" i="4"/>
  <c r="H38" i="4"/>
  <c r="G39" i="4"/>
  <c r="H39" i="4"/>
  <c r="G41" i="4"/>
  <c r="H41" i="4"/>
  <c r="G42" i="4"/>
  <c r="H42" i="4"/>
  <c r="G44" i="4"/>
  <c r="H44" i="4"/>
  <c r="G47" i="4"/>
  <c r="H47" i="4"/>
  <c r="G48" i="4"/>
  <c r="H48" i="4"/>
  <c r="G50" i="4"/>
  <c r="H50" i="4"/>
  <c r="G51" i="4"/>
  <c r="H51" i="4"/>
  <c r="H53" i="4"/>
  <c r="H54" i="4"/>
  <c r="G56" i="4"/>
  <c r="H56" i="4"/>
  <c r="G59" i="4"/>
  <c r="H59" i="4"/>
  <c r="G60" i="4"/>
  <c r="H60" i="4"/>
  <c r="G62" i="4"/>
  <c r="H62" i="4"/>
  <c r="G63" i="4"/>
  <c r="H63" i="4"/>
  <c r="H65" i="4"/>
  <c r="G66" i="4"/>
  <c r="H66" i="4"/>
  <c r="G67" i="4"/>
  <c r="H67" i="4"/>
  <c r="H68" i="4"/>
  <c r="G69" i="4"/>
  <c r="H69" i="4"/>
  <c r="G70" i="4"/>
  <c r="H70" i="4"/>
  <c r="G72" i="4"/>
  <c r="H72" i="4"/>
  <c r="G73" i="4"/>
  <c r="H73" i="4"/>
  <c r="G75" i="4"/>
  <c r="H75" i="4"/>
  <c r="G77" i="4"/>
  <c r="H77" i="4"/>
  <c r="G80" i="4"/>
  <c r="H80" i="4"/>
  <c r="G81" i="4"/>
  <c r="H81" i="4"/>
  <c r="G83" i="4"/>
  <c r="H83" i="4"/>
  <c r="G86" i="4"/>
  <c r="H86" i="4"/>
  <c r="H87" i="4"/>
  <c r="G89" i="4"/>
  <c r="H89" i="4"/>
  <c r="G90" i="4"/>
  <c r="H90" i="4"/>
  <c r="G91" i="4"/>
  <c r="H91" i="4"/>
  <c r="G92" i="4"/>
  <c r="H92" i="4"/>
  <c r="G93" i="4"/>
  <c r="H93" i="4"/>
  <c r="G94" i="4"/>
  <c r="H94" i="4"/>
  <c r="G95" i="4"/>
  <c r="H95" i="4"/>
  <c r="G96" i="4"/>
  <c r="H96" i="4"/>
  <c r="G99" i="4"/>
  <c r="H99" i="4"/>
  <c r="G100" i="4"/>
  <c r="H100" i="4"/>
  <c r="G102" i="4"/>
  <c r="H102" i="4"/>
  <c r="G104" i="4"/>
  <c r="H104" i="4"/>
  <c r="G106" i="4"/>
  <c r="H106" i="4"/>
  <c r="G107" i="4"/>
  <c r="H107" i="4"/>
  <c r="G110" i="4"/>
  <c r="H110" i="4"/>
  <c r="G112" i="4"/>
  <c r="H112" i="4"/>
  <c r="G113" i="4"/>
  <c r="H113" i="4"/>
  <c r="H115" i="4"/>
  <c r="G116" i="4"/>
  <c r="H116" i="4"/>
  <c r="G119" i="4"/>
  <c r="H119" i="4"/>
  <c r="G121" i="4"/>
  <c r="H121" i="4"/>
  <c r="G123" i="4"/>
  <c r="H123" i="4"/>
  <c r="G124" i="4"/>
  <c r="H124" i="4"/>
  <c r="G125" i="4"/>
  <c r="H125" i="4"/>
  <c r="G128" i="4"/>
  <c r="H128" i="4"/>
  <c r="G129" i="4"/>
  <c r="H129" i="4"/>
  <c r="H130" i="4"/>
  <c r="G132" i="4"/>
  <c r="H132" i="4"/>
  <c r="G134" i="4"/>
  <c r="H134" i="4"/>
  <c r="G135" i="4"/>
  <c r="H135" i="4"/>
  <c r="G136" i="4"/>
  <c r="H136" i="4"/>
  <c r="G137" i="4"/>
  <c r="H137" i="4"/>
  <c r="H138" i="4"/>
  <c r="G140" i="4"/>
  <c r="H140" i="4"/>
  <c r="G141" i="4"/>
  <c r="H141" i="4"/>
  <c r="H7" i="4"/>
  <c r="G7" i="4"/>
  <c r="E99" i="4"/>
  <c r="D99" i="4"/>
  <c r="E80" i="4"/>
  <c r="D80" i="4"/>
  <c r="D73" i="4"/>
  <c r="D71" i="4"/>
  <c r="E71" i="4"/>
  <c r="G71" i="4" s="1"/>
  <c r="D72" i="4"/>
  <c r="E63" i="4"/>
  <c r="D63" i="4"/>
  <c r="E50" i="4"/>
  <c r="D51" i="4"/>
  <c r="D50" i="4"/>
  <c r="E47" i="4"/>
  <c r="D47" i="4"/>
  <c r="E39" i="4"/>
  <c r="D39" i="4"/>
  <c r="D32" i="4"/>
  <c r="E23" i="4"/>
  <c r="D23" i="4"/>
  <c r="E7" i="4"/>
  <c r="D7" i="4"/>
  <c r="F71" i="4" l="1"/>
  <c r="G98" i="4"/>
  <c r="D64" i="4"/>
  <c r="E64" i="4"/>
  <c r="B139" i="4"/>
  <c r="C133" i="4"/>
  <c r="H133" i="4" s="1"/>
  <c r="C42" i="4"/>
  <c r="F64" i="4" l="1"/>
  <c r="G64" i="4"/>
  <c r="F133" i="4"/>
  <c r="G133" i="4"/>
  <c r="F7" i="4"/>
  <c r="D131" i="4"/>
  <c r="E131" i="4"/>
  <c r="D88" i="4"/>
  <c r="E88" i="4"/>
  <c r="D46" i="4"/>
  <c r="E46" i="4"/>
  <c r="D33" i="4"/>
  <c r="D22" i="4"/>
  <c r="E22" i="4"/>
  <c r="C22" i="4"/>
  <c r="B22" i="4"/>
  <c r="F88" i="4" l="1"/>
  <c r="G88" i="4"/>
  <c r="F46" i="4"/>
  <c r="G46" i="4"/>
  <c r="H22" i="4"/>
  <c r="G22" i="4"/>
  <c r="F22" i="4"/>
  <c r="F131" i="4"/>
  <c r="G131" i="4"/>
  <c r="C131" i="4"/>
  <c r="H131" i="4" s="1"/>
  <c r="C122" i="4"/>
  <c r="C114" i="4"/>
  <c r="C98" i="4"/>
  <c r="H98" i="4" s="1"/>
  <c r="C88" i="4"/>
  <c r="H88" i="4" s="1"/>
  <c r="C85" i="4"/>
  <c r="C71" i="4" l="1"/>
  <c r="H71" i="4" s="1"/>
  <c r="C46" i="4"/>
  <c r="H46" i="4" s="1"/>
  <c r="B131" i="4" l="1"/>
  <c r="B98" i="4"/>
  <c r="B58" i="4"/>
  <c r="B46" i="4"/>
  <c r="E58" i="4" l="1"/>
  <c r="C58" i="4"/>
  <c r="C27" i="4"/>
  <c r="C16" i="4"/>
  <c r="C139" i="4"/>
  <c r="C127" i="4"/>
  <c r="C120" i="4"/>
  <c r="C118" i="4"/>
  <c r="C111" i="4"/>
  <c r="C109" i="4"/>
  <c r="C105" i="4"/>
  <c r="C103" i="4"/>
  <c r="C101" i="4"/>
  <c r="C82" i="4"/>
  <c r="C79" i="4"/>
  <c r="C78" i="4" s="1"/>
  <c r="C76" i="4"/>
  <c r="C74" i="4"/>
  <c r="C64" i="4"/>
  <c r="H64" i="4" s="1"/>
  <c r="C61" i="4"/>
  <c r="C55" i="4"/>
  <c r="C52" i="4"/>
  <c r="C49" i="4"/>
  <c r="C43" i="4"/>
  <c r="C40" i="4"/>
  <c r="C37" i="4"/>
  <c r="C34" i="4"/>
  <c r="C31" i="4"/>
  <c r="C25" i="4"/>
  <c r="C21" i="4" s="1"/>
  <c r="C19" i="4"/>
  <c r="C14" i="4"/>
  <c r="C12" i="4"/>
  <c r="C10" i="4"/>
  <c r="C6" i="4"/>
  <c r="B133" i="4"/>
  <c r="H58" i="4" l="1"/>
  <c r="D58" i="4"/>
  <c r="F58" i="4" s="1"/>
  <c r="C126" i="4"/>
  <c r="C84" i="4"/>
  <c r="E31" i="4"/>
  <c r="D31" i="4"/>
  <c r="C36" i="4"/>
  <c r="C117" i="4"/>
  <c r="C30" i="4"/>
  <c r="C108" i="4"/>
  <c r="C97" i="4"/>
  <c r="C5" i="4"/>
  <c r="C45" i="4"/>
  <c r="C57" i="4"/>
  <c r="D120" i="4"/>
  <c r="E120" i="4"/>
  <c r="H120" i="4" s="1"/>
  <c r="B120" i="4"/>
  <c r="D82" i="4"/>
  <c r="E82" i="4"/>
  <c r="B82" i="4"/>
  <c r="B31" i="4"/>
  <c r="B25" i="4"/>
  <c r="F31" i="4" l="1"/>
  <c r="G31" i="4"/>
  <c r="H31" i="4"/>
  <c r="G58" i="4"/>
  <c r="H82" i="4"/>
  <c r="F82" i="4"/>
  <c r="G82" i="4"/>
  <c r="F120" i="4"/>
  <c r="G120" i="4"/>
  <c r="C142" i="4"/>
  <c r="E34" i="4"/>
  <c r="H34" i="4" l="1"/>
  <c r="D27" i="4"/>
  <c r="E27" i="4"/>
  <c r="D25" i="4"/>
  <c r="D21" i="4" s="1"/>
  <c r="E25" i="4"/>
  <c r="F25" i="4" l="1"/>
  <c r="G25" i="4"/>
  <c r="H25" i="4"/>
  <c r="G27" i="4"/>
  <c r="H27" i="4"/>
  <c r="F27" i="4"/>
  <c r="E21" i="4"/>
  <c r="D127" i="4"/>
  <c r="E127" i="4"/>
  <c r="H127" i="4" s="1"/>
  <c r="B127" i="4"/>
  <c r="B126" i="4" s="1"/>
  <c r="D114" i="4"/>
  <c r="E114" i="4"/>
  <c r="H114" i="4" s="1"/>
  <c r="B114" i="4"/>
  <c r="B88" i="4"/>
  <c r="F21" i="4" l="1"/>
  <c r="G21" i="4"/>
  <c r="H21" i="4"/>
  <c r="D126" i="4"/>
  <c r="F127" i="4"/>
  <c r="G127" i="4"/>
  <c r="G114" i="4"/>
  <c r="F114" i="4"/>
  <c r="E126" i="4"/>
  <c r="H126" i="4" s="1"/>
  <c r="E76" i="4"/>
  <c r="D76" i="4"/>
  <c r="B76" i="4"/>
  <c r="D55" i="4"/>
  <c r="E55" i="4"/>
  <c r="B55" i="4"/>
  <c r="D52" i="4"/>
  <c r="E52" i="4"/>
  <c r="B52" i="4"/>
  <c r="E49" i="4"/>
  <c r="B49" i="4"/>
  <c r="D40" i="4"/>
  <c r="E40" i="4"/>
  <c r="B40" i="4"/>
  <c r="B27" i="4"/>
  <c r="D19" i="4"/>
  <c r="E19" i="4"/>
  <c r="B19" i="4"/>
  <c r="H49" i="4" l="1"/>
  <c r="F55" i="4"/>
  <c r="G55" i="4"/>
  <c r="H55" i="4"/>
  <c r="F76" i="4"/>
  <c r="H76" i="4"/>
  <c r="G76" i="4"/>
  <c r="G19" i="4"/>
  <c r="H19" i="4"/>
  <c r="F19" i="4"/>
  <c r="F40" i="4"/>
  <c r="H40" i="4"/>
  <c r="G40" i="4"/>
  <c r="F52" i="4"/>
  <c r="H52" i="4"/>
  <c r="F126" i="4"/>
  <c r="G126" i="4"/>
  <c r="D49" i="4"/>
  <c r="F49" i="4" s="1"/>
  <c r="D74" i="4"/>
  <c r="E74" i="4"/>
  <c r="B71" i="4"/>
  <c r="H122" i="4"/>
  <c r="B122" i="4"/>
  <c r="E101" i="4"/>
  <c r="H101" i="4" s="1"/>
  <c r="D85" i="4"/>
  <c r="E85" i="4"/>
  <c r="B85" i="4"/>
  <c r="D43" i="4"/>
  <c r="E43" i="4"/>
  <c r="B43" i="4"/>
  <c r="D37" i="4"/>
  <c r="E37" i="4"/>
  <c r="B37" i="4"/>
  <c r="D61" i="4"/>
  <c r="E61" i="4"/>
  <c r="B61" i="4"/>
  <c r="G43" i="4" l="1"/>
  <c r="H43" i="4"/>
  <c r="F43" i="4"/>
  <c r="G49" i="4"/>
  <c r="F37" i="4"/>
  <c r="G37" i="4"/>
  <c r="H37" i="4"/>
  <c r="H74" i="4"/>
  <c r="F74" i="4"/>
  <c r="G74" i="4"/>
  <c r="F61" i="4"/>
  <c r="G61" i="4"/>
  <c r="H61" i="4"/>
  <c r="F85" i="4"/>
  <c r="G85" i="4"/>
  <c r="H85" i="4"/>
  <c r="D36" i="4"/>
  <c r="B36" i="4"/>
  <c r="E36" i="4"/>
  <c r="D101" i="4"/>
  <c r="D105" i="4"/>
  <c r="E105" i="4"/>
  <c r="H105" i="4" s="1"/>
  <c r="B105" i="4"/>
  <c r="F36" i="4" l="1"/>
  <c r="H36" i="4"/>
  <c r="G36" i="4"/>
  <c r="G122" i="4"/>
  <c r="F122" i="4"/>
  <c r="F105" i="4"/>
  <c r="G105" i="4"/>
  <c r="F101" i="4"/>
  <c r="G101" i="4"/>
  <c r="B45" i="4"/>
  <c r="B21" i="4" l="1"/>
  <c r="E45" i="4" l="1"/>
  <c r="D139" i="4"/>
  <c r="B118" i="4"/>
  <c r="B117" i="4" s="1"/>
  <c r="D118" i="4"/>
  <c r="B109" i="4"/>
  <c r="D109" i="4"/>
  <c r="B111" i="4"/>
  <c r="D111" i="4"/>
  <c r="B79" i="4"/>
  <c r="B78" i="4" s="1"/>
  <c r="D79" i="4"/>
  <c r="D78" i="4" s="1"/>
  <c r="B74" i="4"/>
  <c r="B64" i="4"/>
  <c r="D57" i="4"/>
  <c r="E139" i="4"/>
  <c r="H139" i="4" s="1"/>
  <c r="E118" i="4"/>
  <c r="H118" i="4" s="1"/>
  <c r="B103" i="4"/>
  <c r="D103" i="4"/>
  <c r="E111" i="4"/>
  <c r="H111" i="4" s="1"/>
  <c r="E109" i="4"/>
  <c r="H109" i="4" s="1"/>
  <c r="E103" i="4"/>
  <c r="H103" i="4" s="1"/>
  <c r="B84" i="4"/>
  <c r="E79" i="4"/>
  <c r="B34" i="4"/>
  <c r="D34" i="4"/>
  <c r="B16" i="4"/>
  <c r="D16" i="4"/>
  <c r="E16" i="4"/>
  <c r="B14" i="4"/>
  <c r="D14" i="4"/>
  <c r="E14" i="4"/>
  <c r="B12" i="4"/>
  <c r="D12" i="4"/>
  <c r="E12" i="4"/>
  <c r="B10" i="4"/>
  <c r="D10" i="4"/>
  <c r="E10" i="4"/>
  <c r="B6" i="4"/>
  <c r="D6" i="4"/>
  <c r="F79" i="4" l="1"/>
  <c r="E78" i="4"/>
  <c r="G79" i="4"/>
  <c r="H79" i="4"/>
  <c r="H10" i="4"/>
  <c r="F10" i="4"/>
  <c r="G10" i="4"/>
  <c r="G34" i="4"/>
  <c r="F34" i="4"/>
  <c r="F16" i="4"/>
  <c r="H16" i="4"/>
  <c r="G16" i="4"/>
  <c r="H14" i="4"/>
  <c r="F14" i="4"/>
  <c r="G14" i="4"/>
  <c r="F12" i="4"/>
  <c r="H12" i="4"/>
  <c r="G12" i="4"/>
  <c r="H45" i="4"/>
  <c r="G139" i="4"/>
  <c r="F139" i="4"/>
  <c r="D117" i="4"/>
  <c r="F118" i="4"/>
  <c r="G118" i="4"/>
  <c r="G111" i="4"/>
  <c r="F111" i="4"/>
  <c r="F109" i="4"/>
  <c r="G109" i="4"/>
  <c r="G103" i="4"/>
  <c r="F103" i="4"/>
  <c r="E117" i="4"/>
  <c r="H117" i="4" s="1"/>
  <c r="E57" i="4"/>
  <c r="B57" i="4"/>
  <c r="B5" i="4"/>
  <c r="D84" i="4"/>
  <c r="D5" i="4"/>
  <c r="E108" i="4"/>
  <c r="H108" i="4" s="1"/>
  <c r="B108" i="4"/>
  <c r="D108" i="4"/>
  <c r="E97" i="4"/>
  <c r="D97" i="4"/>
  <c r="E6" i="4"/>
  <c r="B30" i="4"/>
  <c r="D30" i="4"/>
  <c r="E30" i="4"/>
  <c r="H30" i="4" l="1"/>
  <c r="G30" i="4"/>
  <c r="F30" i="4"/>
  <c r="H78" i="4"/>
  <c r="F78" i="4"/>
  <c r="G78" i="4"/>
  <c r="F57" i="4"/>
  <c r="G57" i="4"/>
  <c r="H57" i="4"/>
  <c r="F117" i="4"/>
  <c r="G117" i="4"/>
  <c r="G108" i="4"/>
  <c r="F108" i="4"/>
  <c r="H97" i="4"/>
  <c r="F97" i="4"/>
  <c r="G97" i="4"/>
  <c r="F6" i="4"/>
  <c r="G6" i="4"/>
  <c r="H6" i="4"/>
  <c r="E5" i="4"/>
  <c r="E84" i="4"/>
  <c r="D45" i="4"/>
  <c r="D142" i="4" l="1"/>
  <c r="G45" i="4"/>
  <c r="F45" i="4"/>
  <c r="F84" i="4"/>
  <c r="H84" i="4"/>
  <c r="G84" i="4"/>
  <c r="E142" i="4"/>
  <c r="H5" i="4"/>
  <c r="G5" i="4"/>
  <c r="F5" i="4"/>
  <c r="F142" i="4" l="1"/>
  <c r="G142" i="4"/>
  <c r="H142" i="4"/>
  <c r="B101" i="4"/>
  <c r="B97" i="4" s="1"/>
  <c r="B142" i="4" s="1"/>
</calcChain>
</file>

<file path=xl/sharedStrings.xml><?xml version="1.0" encoding="utf-8"?>
<sst xmlns="http://schemas.openxmlformats.org/spreadsheetml/2006/main" count="146" uniqueCount="71">
  <si>
    <t>Исполнено, руб.</t>
  </si>
  <si>
    <t>% испол. кассового плана</t>
  </si>
  <si>
    <t>Подпрограмма "Профилактика правонарушений"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</si>
  <si>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</si>
  <si>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</si>
  <si>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"Организация бюджетного процесса в городе Нефтеюганске"</t>
  </si>
  <si>
    <t>Департамент финансов администрации города Нефтеюганска</t>
  </si>
  <si>
    <t>Подпрограмма "Совершенствование муниципального управления"</t>
  </si>
  <si>
    <t>Подпрограмма "Развитие малого  и среднего предпринимательства"</t>
  </si>
  <si>
    <t>Подпрограмма "Обеспечение первичных мер пожарной безопасности в городе Нефтеюганске"</t>
  </si>
  <si>
    <t>Подпрограмма "Транспорт"</t>
  </si>
  <si>
    <t>Подпрограмма "Автомобильные дороги"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</si>
  <si>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</si>
  <si>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</si>
  <si>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</si>
  <si>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Подпрограмма "Обеспечение реализации муниципальной программы"</t>
  </si>
  <si>
    <t>Итого по муниципальным программам</t>
  </si>
  <si>
    <t>% испол. бюджетн. росписи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</si>
  <si>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</si>
  <si>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</si>
  <si>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</si>
  <si>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</si>
  <si>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Отклонение (гр.5-гр.4), руб.</t>
  </si>
  <si>
    <t>Департамент образования и молодёжной политики администрации города Нефтеюганска</t>
  </si>
  <si>
    <t>Подпрограмма "Молодёжь Нефтеюганска"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</si>
  <si>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</si>
  <si>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</si>
  <si>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</si>
  <si>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</si>
  <si>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города Нефтеюганска "Развитие образования и молодёжной политики в городе Нефтеюганске"</t>
  </si>
  <si>
    <t>Муниципальная программа города Нефтеюганска "Дополнительные меры социальной поддержки отдельных категорий граждан города Нефтеюганска"</t>
  </si>
  <si>
    <t>Муниципальная программа города Нефтеюганска "Доступная среда в городе Нефтеюганске"</t>
  </si>
  <si>
    <t>Муниципальная программа города Нефтеюганска "Развитие физической культуры и спорта в городе Нефтеюганске"</t>
  </si>
  <si>
    <t>Муниципальная программа города Нефтеюганска "Развитие жилищной сферы города Нефтеюганска"</t>
  </si>
  <si>
    <t>Муниципальная программа города Нефтеюганска «Социально-экономическое развитие города Нефтеюганска»</t>
  </si>
  <si>
    <t>Муниципальная программа города Нефтеюганска «Развитие транспортной системы в городе Нефтеюганске»</t>
  </si>
  <si>
    <t>Муниципальная программа  "Управление муниципальными финансами города Нефтеюганска"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</si>
  <si>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</si>
  <si>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</si>
  <si>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города Нефтеюганска "Поддержка социально ориентированных некоммерческих организаций, осуществляющих деятельность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</si>
  <si>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</si>
  <si>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</si>
  <si>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Подпрограмма "Отдых и оздоровление детей в каникулярное время"</t>
  </si>
  <si>
    <t>Подпрограмма "Формирование законопослушного поведения участников дорожного движения"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</si>
  <si>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</si>
  <si>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</si>
  <si>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</si>
  <si>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</si>
  <si>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</si>
  <si>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</si>
  <si>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фонда"</t>
  </si>
  <si>
    <t xml:space="preserve">Подпрограмма "Обеспечение мерами государственной поддержки по улучшению жилищных условий отдельных категорий граждан" </t>
  </si>
  <si>
    <t xml:space="preserve">Муниципальная программа города Нефтеюганска «Развитие жилищно-коммунального комплекса и повышение энергетической эффективности в городе Нефтеюганске» 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</si>
  <si>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</si>
  <si>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"Безопасность дорожного движения"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</si>
  <si>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</si>
  <si>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Нефтеюганске"
</t>
  </si>
  <si>
    <t>Подпрограмма "Развитие системы массовой физической культуры, подготовки спортивного резерва и спорта высших достижений"</t>
  </si>
  <si>
    <t>Муниципальная программа "Развитие культуры и туризма в городе Нефтеюганске"</t>
  </si>
  <si>
    <t>Подпрограмма "Ресурсное обеспечение в сфере образования и молодёжной политики"</t>
  </si>
  <si>
    <t>Подпрограмма "Модернизация и развитие учреждений культуры и организация обустройства мест массового отдыха населения"</t>
  </si>
  <si>
    <t xml:space="preserve">Муниципальная  программа «Профилактика правонарушений в сфере общественного  порядка, профилактика незаконного оборота и потребления наркотических средств и психотропных веществ в городе Нефтеюганске»
</t>
  </si>
  <si>
    <t>Подпрограмма "Профилактика незаконного оборота потребления наркотических средств и психотропных веществ"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</si>
  <si>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</si>
  <si>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</si>
  <si>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Первоначальный план на 2021 год, руб.</t>
  </si>
  <si>
    <t>Бюджетная роспись                          на 2021 год, руб.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</si>
  <si>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</si>
  <si>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Дума города Нефтеюганска</t>
  </si>
  <si>
    <t>4.  Исполнение по муниципальным программам за 1 полугодие 2021 года</t>
  </si>
  <si>
    <t>Кассовый план за 1 полугодие,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</si>
</sst>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-#,##0.00;_(* &quot;&quot;??_);_(@_)"/>
    <numFmt numFmtId="166" formatCode="#,##0.00_р_.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34">
    <xf numFmtId="0" fontId="0" fillId="0" borderId="0" xfId="0"/>
    <xf numFmtId="0" fontId="0" fillId="2" borderId="0" xfId="0" applyFont="1" applyFill="1"/>
    <xf numFmtId="0" fontId="1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1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1" fillId="2" borderId="1" xfId="4" applyNumberFormat="1" applyFont="1" applyFill="1" applyBorder="1" applyAlignment="1">
      <alignment horizontal="center" vertical="center" wrapText="1"/>
    </xf>
    <xf numFmtId="164" fontId="1" fillId="2" borderId="1" xfId="3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1" fillId="2" borderId="1" xfId="4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vertical="center" wrapText="1"/>
    </xf>
    <xf numFmtId="2" fontId="0" fillId="2" borderId="0" xfId="0" applyNumberFormat="1" applyFont="1" applyFill="1"/>
    <xf numFmtId="4" fontId="0" fillId="2" borderId="0" xfId="0" applyNumberFormat="1" applyFont="1" applyFill="1"/>
    <xf numFmtId="0" fontId="7" fillId="2" borderId="1" xfId="0" applyFont="1" applyFill="1" applyBorder="1" applyAlignment="1">
      <alignment vertical="center" wrapText="1"/>
    </xf>
    <xf numFmtId="0" fontId="8" fillId="2" borderId="0" xfId="0" applyFont="1" applyFill="1"/>
    <xf numFmtId="0" fontId="7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0" fontId="11" fillId="2" borderId="0" xfId="0" applyFont="1" applyFill="1"/>
    <xf numFmtId="4" fontId="1" fillId="2" borderId="1" xfId="3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Alignment="1" applyProtection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3" fontId="9" fillId="2" borderId="1" xfId="0" applyNumberFormat="1" applyFont="1" applyFill="1" applyBorder="1" applyAlignment="1">
      <alignment vertical="center" wrapText="1"/>
    </xf>
    <xf numFmtId="39" fontId="9" fillId="2" borderId="1" xfId="0" applyNumberFormat="1" applyFont="1" applyFill="1" applyBorder="1" applyAlignment="1">
      <alignment vertical="center" wrapText="1"/>
    </xf>
    <xf numFmtId="39" fontId="7" fillId="2" borderId="1" xfId="0" applyNumberFormat="1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vertical="center" wrapText="1"/>
    </xf>
    <xf numFmtId="167" fontId="9" fillId="2" borderId="1" xfId="0" applyNumberFormat="1" applyFont="1" applyFill="1" applyBorder="1" applyAlignment="1">
      <alignment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0" fontId="4" fillId="2" borderId="0" xfId="2" applyNumberFormat="1" applyFont="1" applyFill="1" applyAlignment="1" applyProtection="1">
      <alignment horizontal="center" vertical="center" wrapText="1"/>
    </xf>
    <xf numFmtId="0" fontId="4" fillId="2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6"/>
  <sheetViews>
    <sheetView tabSelected="1" zoomScale="120" zoomScaleNormal="120" workbookViewId="0">
      <pane xSplit="1" ySplit="3" topLeftCell="B136" activePane="bottomRight" state="frozen"/>
      <selection pane="topRight" activeCell="C1" sqref="C1"/>
      <selection pane="bottomLeft" activeCell="A4" sqref="A4"/>
      <selection pane="bottomRight" activeCell="F146" sqref="F146"/>
    </sheetView>
  </sheetViews>
  <sheetFormatPr defaultColWidth="9.140625" defaultRowHeight="15" x14ac:dyDescent="0.25"/>
  <cols>
    <col min="1" max="1" width="72.28515625" style="1" customWidth="1"/>
    <col min="2" max="2" width="18" style="1" customWidth="1"/>
    <col min="3" max="3" width="19.5703125" style="1" customWidth="1"/>
    <col min="4" max="4" width="17.5703125" style="1" customWidth="1"/>
    <col min="5" max="5" width="17.42578125" style="1" customWidth="1"/>
    <col min="6" max="6" width="16.42578125" style="1" customWidth="1"/>
    <col min="7" max="7" width="10.85546875" style="1" customWidth="1"/>
    <col min="8" max="8" width="9.140625" style="1" customWidth="1"/>
    <col min="9" max="16384" width="9.140625" style="1"/>
  </cols>
  <sheetData>
    <row r="1" spans="1:8" ht="15.75" x14ac:dyDescent="0.25">
      <c r="A1" s="33" t="s">
        <v>69</v>
      </c>
      <c r="B1" s="33"/>
      <c r="C1" s="33"/>
      <c r="D1" s="33"/>
      <c r="E1" s="33"/>
      <c r="F1" s="33"/>
      <c r="G1" s="33"/>
    </row>
    <row r="2" spans="1:8" ht="15.75" x14ac:dyDescent="0.25">
      <c r="A2" s="20"/>
      <c r="B2" s="20"/>
      <c r="C2" s="20"/>
      <c r="D2" s="32"/>
      <c r="E2" s="32"/>
      <c r="F2" s="20"/>
      <c r="G2" s="20"/>
      <c r="H2" s="20"/>
    </row>
    <row r="3" spans="1:8" ht="38.25" x14ac:dyDescent="0.25">
      <c r="A3" s="5"/>
      <c r="B3" s="6" t="s">
        <v>65</v>
      </c>
      <c r="C3" s="6" t="s">
        <v>66</v>
      </c>
      <c r="D3" s="6" t="s">
        <v>70</v>
      </c>
      <c r="E3" s="19" t="s">
        <v>0</v>
      </c>
      <c r="F3" s="7" t="s">
        <v>22</v>
      </c>
      <c r="G3" s="8" t="s">
        <v>1</v>
      </c>
      <c r="H3" s="8" t="s">
        <v>17</v>
      </c>
    </row>
    <row r="4" spans="1:8" x14ac:dyDescent="0.25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</row>
    <row r="5" spans="1:8" s="3" customFormat="1" ht="28.5" customHeight="1" x14ac:dyDescent="0.25">
      <c r="A5" s="21" t="s">
        <v>29</v>
      </c>
      <c r="B5" s="24">
        <f>B6+B10+B12+B14+B16+B19</f>
        <v>4725729571</v>
      </c>
      <c r="C5" s="24">
        <f>C6+C10+C12+C14+C16+C19</f>
        <v>4714770207</v>
      </c>
      <c r="D5" s="24">
        <f>D6+D10+D12+D14+D16+D19</f>
        <v>2592819632</v>
      </c>
      <c r="E5" s="24">
        <f>E6+E10+E12+E14+E16+E19</f>
        <v>2288856526.6800008</v>
      </c>
      <c r="F5" s="24">
        <f>E5-D5</f>
        <v>-303963105.31999922</v>
      </c>
      <c r="G5" s="29">
        <f>(E5/D5)*100</f>
        <v>88.276735428544484</v>
      </c>
      <c r="H5" s="29">
        <f>(E5/C5)*100</f>
        <v>48.546512898587189</v>
      </c>
    </row>
    <row r="6" spans="1:8" s="15" customFormat="1" x14ac:dyDescent="0.25">
      <c r="A6" s="14" t="s">
        <v>40</v>
      </c>
      <c r="B6" s="25">
        <f t="shared" ref="B6:D6" si="0">SUM(B7:B9)</f>
        <v>4465263510</v>
      </c>
      <c r="C6" s="25">
        <f t="shared" ref="C6" si="1">SUM(C7:C9)</f>
        <v>4444666745</v>
      </c>
      <c r="D6" s="25">
        <f t="shared" si="0"/>
        <v>2458547807</v>
      </c>
      <c r="E6" s="25">
        <f>SUM(E7:E9)</f>
        <v>2198206016.8000002</v>
      </c>
      <c r="F6" s="25">
        <f t="shared" ref="F6:F70" si="2">E6-D6</f>
        <v>-260341790.19999981</v>
      </c>
      <c r="G6" s="31">
        <f t="shared" ref="G6:G69" si="3">(E6/D6)*100</f>
        <v>89.410749326950139</v>
      </c>
      <c r="H6" s="31">
        <f t="shared" ref="H6:H70" si="4">(E6/C6)*100</f>
        <v>49.457161648235122</v>
      </c>
    </row>
    <row r="7" spans="1:8" ht="25.5" customHeight="1" x14ac:dyDescent="0.25">
      <c r="A7" s="2" t="s">
        <v>23</v>
      </c>
      <c r="B7" s="26">
        <v>4250796610</v>
      </c>
      <c r="C7" s="26">
        <v>4258822160</v>
      </c>
      <c r="D7" s="26">
        <f>2307693534+16266531+51733794+53283300+1891346</f>
        <v>2430868505</v>
      </c>
      <c r="E7" s="26">
        <f>2085140216.65+15706108.97+49270511.17+39897092</f>
        <v>2190013928.79</v>
      </c>
      <c r="F7" s="26">
        <f t="shared" si="2"/>
        <v>-240854576.21000004</v>
      </c>
      <c r="G7" s="30">
        <f>(E7/D7)*100</f>
        <v>90.091830318481172</v>
      </c>
      <c r="H7" s="30">
        <f>(E7/C7)*100</f>
        <v>51.422995525833372</v>
      </c>
    </row>
    <row r="8" spans="1:8" ht="25.5" x14ac:dyDescent="0.25">
      <c r="A8" s="2" t="s">
        <v>25</v>
      </c>
      <c r="B8" s="26">
        <v>214466900</v>
      </c>
      <c r="C8" s="26">
        <v>182219442</v>
      </c>
      <c r="D8" s="26">
        <v>27679302</v>
      </c>
      <c r="E8" s="26">
        <v>8192088.0099999998</v>
      </c>
      <c r="F8" s="26">
        <f t="shared" si="2"/>
        <v>-19487213.990000002</v>
      </c>
      <c r="G8" s="30">
        <f t="shared" ref="G8:G71" si="5">(E8/D8)*100</f>
        <v>29.596440004159064</v>
      </c>
      <c r="H8" s="30">
        <f t="shared" ref="H8:H71" si="6">(E8/C8)*100</f>
        <v>4.4957266469952195</v>
      </c>
    </row>
    <row r="9" spans="1:8" ht="15.75" customHeight="1" x14ac:dyDescent="0.25">
      <c r="A9" s="2" t="s">
        <v>3</v>
      </c>
      <c r="B9" s="26">
        <v>0</v>
      </c>
      <c r="C9" s="26">
        <v>3625143</v>
      </c>
      <c r="D9" s="26">
        <v>0</v>
      </c>
      <c r="E9" s="26">
        <v>0</v>
      </c>
      <c r="F9" s="26">
        <f t="shared" si="2"/>
        <v>0</v>
      </c>
      <c r="G9" s="30">
        <v>0</v>
      </c>
      <c r="H9" s="30">
        <f t="shared" si="6"/>
        <v>0</v>
      </c>
    </row>
    <row r="10" spans="1:8" s="15" customFormat="1" ht="27" x14ac:dyDescent="0.25">
      <c r="A10" s="14" t="s">
        <v>41</v>
      </c>
      <c r="B10" s="25">
        <f t="shared" ref="B10:D10" si="7">B11</f>
        <v>2272200</v>
      </c>
      <c r="C10" s="25">
        <f t="shared" si="7"/>
        <v>3180214</v>
      </c>
      <c r="D10" s="25">
        <f t="shared" si="7"/>
        <v>3048067</v>
      </c>
      <c r="E10" s="25">
        <f>E11</f>
        <v>1043054.05</v>
      </c>
      <c r="F10" s="25">
        <f t="shared" si="2"/>
        <v>-2005012.95</v>
      </c>
      <c r="G10" s="31">
        <f t="shared" si="5"/>
        <v>34.220181183681333</v>
      </c>
      <c r="H10" s="31">
        <f t="shared" si="6"/>
        <v>32.798234647102362</v>
      </c>
    </row>
    <row r="11" spans="1:8" ht="22.5" customHeight="1" x14ac:dyDescent="0.25">
      <c r="A11" s="2" t="s">
        <v>23</v>
      </c>
      <c r="B11" s="26">
        <v>2272200</v>
      </c>
      <c r="C11" s="26">
        <v>3180214</v>
      </c>
      <c r="D11" s="26">
        <v>3048067</v>
      </c>
      <c r="E11" s="26">
        <v>1043054.05</v>
      </c>
      <c r="F11" s="26">
        <f t="shared" si="2"/>
        <v>-2005012.95</v>
      </c>
      <c r="G11" s="30">
        <f t="shared" si="5"/>
        <v>34.220181183681333</v>
      </c>
      <c r="H11" s="30">
        <f t="shared" si="6"/>
        <v>32.798234647102362</v>
      </c>
    </row>
    <row r="12" spans="1:8" s="15" customFormat="1" x14ac:dyDescent="0.25">
      <c r="A12" s="14" t="s">
        <v>42</v>
      </c>
      <c r="B12" s="25">
        <f t="shared" ref="B12:D12" si="8">B13</f>
        <v>66515761</v>
      </c>
      <c r="C12" s="25">
        <f t="shared" si="8"/>
        <v>65903761</v>
      </c>
      <c r="D12" s="25">
        <f t="shared" si="8"/>
        <v>22627828</v>
      </c>
      <c r="E12" s="25">
        <f>E13</f>
        <v>1192961.3</v>
      </c>
      <c r="F12" s="25">
        <f t="shared" si="2"/>
        <v>-21434866.699999999</v>
      </c>
      <c r="G12" s="31">
        <f t="shared" si="5"/>
        <v>5.272098143931446</v>
      </c>
      <c r="H12" s="31">
        <f t="shared" si="6"/>
        <v>1.8101566312732895</v>
      </c>
    </row>
    <row r="13" spans="1:8" ht="26.25" customHeight="1" x14ac:dyDescent="0.25">
      <c r="A13" s="2" t="s">
        <v>23</v>
      </c>
      <c r="B13" s="26">
        <v>66515761</v>
      </c>
      <c r="C13" s="26">
        <v>65903761</v>
      </c>
      <c r="D13" s="26">
        <v>22627828</v>
      </c>
      <c r="E13" s="26">
        <v>1192961.3</v>
      </c>
      <c r="F13" s="26">
        <f t="shared" si="2"/>
        <v>-21434866.699999999</v>
      </c>
      <c r="G13" s="30">
        <f t="shared" si="5"/>
        <v>5.272098143931446</v>
      </c>
      <c r="H13" s="30">
        <f t="shared" si="6"/>
        <v>1.8101566312732895</v>
      </c>
    </row>
    <row r="14" spans="1:8" s="15" customFormat="1" x14ac:dyDescent="0.25">
      <c r="A14" s="14" t="s">
        <v>24</v>
      </c>
      <c r="B14" s="25">
        <f t="shared" ref="B14:D14" si="9">B15</f>
        <v>63309800</v>
      </c>
      <c r="C14" s="25">
        <f t="shared" si="9"/>
        <v>66234600</v>
      </c>
      <c r="D14" s="25">
        <f t="shared" si="9"/>
        <v>33568757</v>
      </c>
      <c r="E14" s="25">
        <f>E15</f>
        <v>27028353.84</v>
      </c>
      <c r="F14" s="25">
        <f t="shared" si="2"/>
        <v>-6540403.1600000001</v>
      </c>
      <c r="G14" s="31">
        <f t="shared" si="5"/>
        <v>80.516397553832576</v>
      </c>
      <c r="H14" s="31">
        <f t="shared" si="6"/>
        <v>40.807000933047078</v>
      </c>
    </row>
    <row r="15" spans="1:8" ht="22.5" customHeight="1" x14ac:dyDescent="0.25">
      <c r="A15" s="2" t="s">
        <v>23</v>
      </c>
      <c r="B15" s="26">
        <v>63309800</v>
      </c>
      <c r="C15" s="26">
        <v>66234600</v>
      </c>
      <c r="D15" s="26">
        <v>33568757</v>
      </c>
      <c r="E15" s="26">
        <v>27028353.84</v>
      </c>
      <c r="F15" s="26">
        <f t="shared" si="2"/>
        <v>-6540403.1600000001</v>
      </c>
      <c r="G15" s="30">
        <f t="shared" si="5"/>
        <v>80.516397553832576</v>
      </c>
      <c r="H15" s="30">
        <f t="shared" si="6"/>
        <v>40.807000933047078</v>
      </c>
    </row>
    <row r="16" spans="1:8" s="15" customFormat="1" ht="27" x14ac:dyDescent="0.25">
      <c r="A16" s="14" t="s">
        <v>59</v>
      </c>
      <c r="B16" s="25">
        <f t="shared" ref="B16:D16" si="10">SUM(B17)</f>
        <v>128309300</v>
      </c>
      <c r="C16" s="25">
        <f>SUM(C17:C18)</f>
        <v>134725887</v>
      </c>
      <c r="D16" s="25">
        <f t="shared" si="10"/>
        <v>74997173</v>
      </c>
      <c r="E16" s="25">
        <f>SUM(E17)</f>
        <v>61356140.689999998</v>
      </c>
      <c r="F16" s="25">
        <f t="shared" si="2"/>
        <v>-13641032.310000002</v>
      </c>
      <c r="G16" s="31">
        <f t="shared" si="5"/>
        <v>81.811271326187182</v>
      </c>
      <c r="H16" s="31">
        <f t="shared" si="6"/>
        <v>45.541463527347197</v>
      </c>
    </row>
    <row r="17" spans="1:8" ht="23.25" customHeight="1" x14ac:dyDescent="0.25">
      <c r="A17" s="2" t="s">
        <v>23</v>
      </c>
      <c r="B17" s="26">
        <v>128309300</v>
      </c>
      <c r="C17" s="26">
        <v>128445500</v>
      </c>
      <c r="D17" s="26">
        <v>74997173</v>
      </c>
      <c r="E17" s="26">
        <v>61356140.689999998</v>
      </c>
      <c r="F17" s="26">
        <f t="shared" si="2"/>
        <v>-13641032.310000002</v>
      </c>
      <c r="G17" s="30">
        <f t="shared" si="5"/>
        <v>81.811271326187182</v>
      </c>
      <c r="H17" s="30">
        <f t="shared" si="6"/>
        <v>47.768229085487619</v>
      </c>
    </row>
    <row r="18" spans="1:8" ht="26.25" customHeight="1" x14ac:dyDescent="0.25">
      <c r="A18" s="2" t="s">
        <v>25</v>
      </c>
      <c r="B18" s="26">
        <v>0</v>
      </c>
      <c r="C18" s="26">
        <v>6280387</v>
      </c>
      <c r="D18" s="26">
        <v>0</v>
      </c>
      <c r="E18" s="26">
        <v>0</v>
      </c>
      <c r="F18" s="26">
        <f t="shared" si="2"/>
        <v>0</v>
      </c>
      <c r="G18" s="30">
        <v>0</v>
      </c>
      <c r="H18" s="30">
        <f t="shared" si="6"/>
        <v>0</v>
      </c>
    </row>
    <row r="19" spans="1:8" s="15" customFormat="1" ht="24.75" customHeight="1" x14ac:dyDescent="0.25">
      <c r="A19" s="14" t="s">
        <v>43</v>
      </c>
      <c r="B19" s="25">
        <f>B20</f>
        <v>59000</v>
      </c>
      <c r="C19" s="25">
        <f>C20</f>
        <v>59000</v>
      </c>
      <c r="D19" s="25">
        <f t="shared" ref="D19:E19" si="11">D20</f>
        <v>30000</v>
      </c>
      <c r="E19" s="25">
        <f t="shared" si="11"/>
        <v>30000</v>
      </c>
      <c r="F19" s="25">
        <f t="shared" si="2"/>
        <v>0</v>
      </c>
      <c r="G19" s="31">
        <f t="shared" si="5"/>
        <v>100</v>
      </c>
      <c r="H19" s="31">
        <f t="shared" si="6"/>
        <v>50.847457627118644</v>
      </c>
    </row>
    <row r="20" spans="1:8" ht="24.75" customHeight="1" x14ac:dyDescent="0.25">
      <c r="A20" s="2" t="s">
        <v>23</v>
      </c>
      <c r="B20" s="26">
        <v>59000</v>
      </c>
      <c r="C20" s="26">
        <v>59000</v>
      </c>
      <c r="D20" s="26">
        <v>30000</v>
      </c>
      <c r="E20" s="26">
        <v>30000</v>
      </c>
      <c r="F20" s="26">
        <f t="shared" si="2"/>
        <v>0</v>
      </c>
      <c r="G20" s="30">
        <f t="shared" si="5"/>
        <v>100</v>
      </c>
      <c r="H20" s="30">
        <f t="shared" si="6"/>
        <v>50.847457627118644</v>
      </c>
    </row>
    <row r="21" spans="1:8" s="3" customFormat="1" ht="25.5" x14ac:dyDescent="0.25">
      <c r="A21" s="21" t="s">
        <v>30</v>
      </c>
      <c r="B21" s="24">
        <f>B25+B22</f>
        <v>102895100</v>
      </c>
      <c r="C21" s="24">
        <f>C25+C22</f>
        <v>200285736</v>
      </c>
      <c r="D21" s="24">
        <f t="shared" ref="D21:E21" si="12">D25+D22</f>
        <v>35579635</v>
      </c>
      <c r="E21" s="24">
        <f t="shared" si="12"/>
        <v>25282189.41</v>
      </c>
      <c r="F21" s="24">
        <f t="shared" si="2"/>
        <v>-10297445.59</v>
      </c>
      <c r="G21" s="29">
        <f t="shared" si="5"/>
        <v>71.05803477185755</v>
      </c>
      <c r="H21" s="29">
        <f t="shared" si="6"/>
        <v>12.62306039108047</v>
      </c>
    </row>
    <row r="22" spans="1:8" s="15" customFormat="1" ht="27" x14ac:dyDescent="0.25">
      <c r="A22" s="14" t="s">
        <v>44</v>
      </c>
      <c r="B22" s="25">
        <f>B24+B23</f>
        <v>64418100</v>
      </c>
      <c r="C22" s="25">
        <f>C24+C23</f>
        <v>161617036</v>
      </c>
      <c r="D22" s="25">
        <f t="shared" ref="D22:E22" si="13">D24+D23</f>
        <v>17521336</v>
      </c>
      <c r="E22" s="25">
        <f t="shared" si="13"/>
        <v>8311845.1200000001</v>
      </c>
      <c r="F22" s="25">
        <f t="shared" si="2"/>
        <v>-9209490.879999999</v>
      </c>
      <c r="G22" s="31">
        <f t="shared" si="5"/>
        <v>47.438420905803078</v>
      </c>
      <c r="H22" s="31">
        <f t="shared" si="6"/>
        <v>5.1429263434827499</v>
      </c>
    </row>
    <row r="23" spans="1:8" x14ac:dyDescent="0.25">
      <c r="A23" s="2" t="s">
        <v>18</v>
      </c>
      <c r="B23" s="26">
        <v>22742800</v>
      </c>
      <c r="C23" s="26">
        <v>22742800</v>
      </c>
      <c r="D23" s="26">
        <f>10460800</f>
        <v>10460800</v>
      </c>
      <c r="E23" s="26">
        <f>8311845.12</f>
        <v>8311845.1200000001</v>
      </c>
      <c r="F23" s="26">
        <f t="shared" si="2"/>
        <v>-2148954.88</v>
      </c>
      <c r="G23" s="30">
        <f t="shared" si="5"/>
        <v>79.457069440195781</v>
      </c>
      <c r="H23" s="30">
        <f t="shared" si="6"/>
        <v>36.547149515451046</v>
      </c>
    </row>
    <row r="24" spans="1:8" x14ac:dyDescent="0.25">
      <c r="A24" s="2" t="s">
        <v>27</v>
      </c>
      <c r="B24" s="26">
        <v>41675300</v>
      </c>
      <c r="C24" s="26">
        <v>138874236</v>
      </c>
      <c r="D24" s="26">
        <v>7060536</v>
      </c>
      <c r="E24" s="26">
        <v>0</v>
      </c>
      <c r="F24" s="26">
        <f t="shared" si="2"/>
        <v>-7060536</v>
      </c>
      <c r="G24" s="30">
        <f t="shared" si="5"/>
        <v>0</v>
      </c>
      <c r="H24" s="30">
        <f t="shared" si="6"/>
        <v>0</v>
      </c>
    </row>
    <row r="25" spans="1:8" s="15" customFormat="1" ht="27" x14ac:dyDescent="0.25">
      <c r="A25" s="14" t="s">
        <v>45</v>
      </c>
      <c r="B25" s="25">
        <f>B26</f>
        <v>38477000</v>
      </c>
      <c r="C25" s="25">
        <f>C26</f>
        <v>38668700</v>
      </c>
      <c r="D25" s="25">
        <f>SUM(D26:D26)</f>
        <v>18058299</v>
      </c>
      <c r="E25" s="25">
        <f>SUM(E26:E26)</f>
        <v>16970344.289999999</v>
      </c>
      <c r="F25" s="25">
        <f t="shared" si="2"/>
        <v>-1087954.7100000009</v>
      </c>
      <c r="G25" s="31">
        <f t="shared" si="5"/>
        <v>93.975320100747027</v>
      </c>
      <c r="H25" s="31">
        <f t="shared" si="6"/>
        <v>43.886513614370273</v>
      </c>
    </row>
    <row r="26" spans="1:8" x14ac:dyDescent="0.25">
      <c r="A26" s="2" t="s">
        <v>18</v>
      </c>
      <c r="B26" s="26">
        <v>38477000</v>
      </c>
      <c r="C26" s="26">
        <v>38668700</v>
      </c>
      <c r="D26" s="26">
        <v>18058299</v>
      </c>
      <c r="E26" s="26">
        <v>16970344.289999999</v>
      </c>
      <c r="F26" s="26">
        <f t="shared" si="2"/>
        <v>-1087954.7100000009</v>
      </c>
      <c r="G26" s="30">
        <f t="shared" si="5"/>
        <v>93.975320100747027</v>
      </c>
      <c r="H26" s="30">
        <f t="shared" si="6"/>
        <v>43.886513614370273</v>
      </c>
    </row>
    <row r="27" spans="1:8" s="3" customFormat="1" ht="25.5" customHeight="1" x14ac:dyDescent="0.25">
      <c r="A27" s="22" t="s">
        <v>31</v>
      </c>
      <c r="B27" s="24">
        <f>SUM(B28:B28)</f>
        <v>771000</v>
      </c>
      <c r="C27" s="24">
        <f>SUM(C28:C29)</f>
        <v>2303680</v>
      </c>
      <c r="D27" s="24">
        <f>SUM(D28:D29)</f>
        <v>1127380</v>
      </c>
      <c r="E27" s="24">
        <f>SUM(E28:E29)</f>
        <v>463954.98</v>
      </c>
      <c r="F27" s="24">
        <f t="shared" si="2"/>
        <v>-663425.02</v>
      </c>
      <c r="G27" s="29">
        <f t="shared" si="5"/>
        <v>41.153380404122828</v>
      </c>
      <c r="H27" s="29">
        <f t="shared" si="6"/>
        <v>20.13973208084456</v>
      </c>
    </row>
    <row r="28" spans="1:8" ht="15.75" customHeight="1" x14ac:dyDescent="0.25">
      <c r="A28" s="4" t="s">
        <v>23</v>
      </c>
      <c r="B28" s="26">
        <v>771000</v>
      </c>
      <c r="C28" s="26">
        <v>771000</v>
      </c>
      <c r="D28" s="26">
        <v>771000</v>
      </c>
      <c r="E28" s="26">
        <v>284250</v>
      </c>
      <c r="F28" s="26">
        <f t="shared" si="2"/>
        <v>-486750</v>
      </c>
      <c r="G28" s="30">
        <f t="shared" si="5"/>
        <v>36.867704280155642</v>
      </c>
      <c r="H28" s="30">
        <f t="shared" si="6"/>
        <v>36.867704280155642</v>
      </c>
    </row>
    <row r="29" spans="1:8" ht="16.5" customHeight="1" x14ac:dyDescent="0.25">
      <c r="A29" s="2" t="s">
        <v>3</v>
      </c>
      <c r="B29" s="26">
        <v>0</v>
      </c>
      <c r="C29" s="26">
        <v>1532680</v>
      </c>
      <c r="D29" s="26">
        <v>356380</v>
      </c>
      <c r="E29" s="26">
        <v>179704.98</v>
      </c>
      <c r="F29" s="26">
        <f t="shared" si="2"/>
        <v>-176675.02</v>
      </c>
      <c r="G29" s="30">
        <f t="shared" si="5"/>
        <v>50.425102418766485</v>
      </c>
      <c r="H29" s="30">
        <f t="shared" si="6"/>
        <v>11.724885820914999</v>
      </c>
    </row>
    <row r="30" spans="1:8" s="3" customFormat="1" ht="23.25" customHeight="1" x14ac:dyDescent="0.25">
      <c r="A30" s="21" t="s">
        <v>58</v>
      </c>
      <c r="B30" s="24">
        <f>B31+B34</f>
        <v>693240842</v>
      </c>
      <c r="C30" s="24">
        <f>C31+C34</f>
        <v>715118722.55999994</v>
      </c>
      <c r="D30" s="24">
        <f>D31+D34</f>
        <v>403268392.56</v>
      </c>
      <c r="E30" s="24">
        <f>E31+E34</f>
        <v>329860819.05000001</v>
      </c>
      <c r="F30" s="24">
        <f t="shared" si="2"/>
        <v>-73407573.50999999</v>
      </c>
      <c r="G30" s="29">
        <f t="shared" si="5"/>
        <v>81.796844269396075</v>
      </c>
      <c r="H30" s="29">
        <f t="shared" si="6"/>
        <v>46.126721150462394</v>
      </c>
    </row>
    <row r="31" spans="1:8" s="15" customFormat="1" ht="27" x14ac:dyDescent="0.25">
      <c r="A31" s="14" t="s">
        <v>60</v>
      </c>
      <c r="B31" s="25">
        <f>SUM(B32:B33)</f>
        <v>665454393</v>
      </c>
      <c r="C31" s="25">
        <f>SUM(C32:C33)</f>
        <v>687280273.55999994</v>
      </c>
      <c r="D31" s="25">
        <f>SUM(D32:D33)</f>
        <v>388539243.56</v>
      </c>
      <c r="E31" s="25">
        <f>SUM(E32:E33)</f>
        <v>317823040.24000001</v>
      </c>
      <c r="F31" s="25">
        <f t="shared" si="2"/>
        <v>-70716203.319999993</v>
      </c>
      <c r="G31" s="31">
        <f t="shared" si="5"/>
        <v>81.799469553690102</v>
      </c>
      <c r="H31" s="31">
        <f t="shared" si="6"/>
        <v>46.243585399843994</v>
      </c>
    </row>
    <row r="32" spans="1:8" x14ac:dyDescent="0.25">
      <c r="A32" s="11" t="s">
        <v>26</v>
      </c>
      <c r="B32" s="26">
        <v>665454393</v>
      </c>
      <c r="C32" s="26">
        <v>681800804.55999994</v>
      </c>
      <c r="D32" s="26">
        <f>220589133+125495106+1421097+35554438.56</f>
        <v>383059774.56</v>
      </c>
      <c r="E32" s="26">
        <v>317823040.24000001</v>
      </c>
      <c r="F32" s="26">
        <f t="shared" si="2"/>
        <v>-65236734.319999993</v>
      </c>
      <c r="G32" s="30">
        <f t="shared" si="5"/>
        <v>82.969568027618166</v>
      </c>
      <c r="H32" s="30">
        <f t="shared" si="6"/>
        <v>46.615233967801942</v>
      </c>
    </row>
    <row r="33" spans="1:8" ht="25.5" x14ac:dyDescent="0.25">
      <c r="A33" s="2" t="s">
        <v>25</v>
      </c>
      <c r="B33" s="26">
        <v>0</v>
      </c>
      <c r="C33" s="26">
        <v>5479469</v>
      </c>
      <c r="D33" s="26">
        <f>3630877+1848592</f>
        <v>5479469</v>
      </c>
      <c r="E33" s="26">
        <v>0</v>
      </c>
      <c r="F33" s="26">
        <f t="shared" si="2"/>
        <v>-5479469</v>
      </c>
      <c r="G33" s="30">
        <f t="shared" si="5"/>
        <v>0</v>
      </c>
      <c r="H33" s="30">
        <f t="shared" si="6"/>
        <v>0</v>
      </c>
    </row>
    <row r="34" spans="1:8" s="15" customFormat="1" ht="21.75" customHeight="1" x14ac:dyDescent="0.25">
      <c r="A34" s="14" t="s">
        <v>46</v>
      </c>
      <c r="B34" s="25">
        <f t="shared" ref="B34:D34" si="14">B35</f>
        <v>27786449</v>
      </c>
      <c r="C34" s="25">
        <f t="shared" si="14"/>
        <v>27838449</v>
      </c>
      <c r="D34" s="25">
        <f t="shared" si="14"/>
        <v>14729149</v>
      </c>
      <c r="E34" s="25">
        <f>E35</f>
        <v>12037778.810000001</v>
      </c>
      <c r="F34" s="25">
        <f t="shared" si="2"/>
        <v>-2691370.1899999995</v>
      </c>
      <c r="G34" s="31">
        <f t="shared" si="5"/>
        <v>81.727592069304208</v>
      </c>
      <c r="H34" s="31">
        <f t="shared" si="6"/>
        <v>43.241557063757398</v>
      </c>
    </row>
    <row r="35" spans="1:8" x14ac:dyDescent="0.25">
      <c r="A35" s="11" t="s">
        <v>26</v>
      </c>
      <c r="B35" s="26">
        <v>27786449</v>
      </c>
      <c r="C35" s="26">
        <v>27838449</v>
      </c>
      <c r="D35" s="26">
        <v>14729149</v>
      </c>
      <c r="E35" s="26">
        <v>12037778.810000001</v>
      </c>
      <c r="F35" s="26">
        <f t="shared" si="2"/>
        <v>-2691370.1899999995</v>
      </c>
      <c r="G35" s="30">
        <f t="shared" si="5"/>
        <v>81.727592069304208</v>
      </c>
      <c r="H35" s="30">
        <f t="shared" si="6"/>
        <v>43.241557063757398</v>
      </c>
    </row>
    <row r="36" spans="1:8" s="3" customFormat="1" ht="27.75" customHeight="1" x14ac:dyDescent="0.25">
      <c r="A36" s="21" t="s">
        <v>32</v>
      </c>
      <c r="B36" s="24">
        <f>B37+B43+B40</f>
        <v>1067435998</v>
      </c>
      <c r="C36" s="24">
        <f>C37+C40+C43</f>
        <v>1595289536</v>
      </c>
      <c r="D36" s="24">
        <f t="shared" ref="D36:E36" si="15">D37+D43+D40</f>
        <v>480232839</v>
      </c>
      <c r="E36" s="24">
        <f t="shared" si="15"/>
        <v>375525774.73000002</v>
      </c>
      <c r="F36" s="24">
        <f t="shared" si="2"/>
        <v>-104707064.26999998</v>
      </c>
      <c r="G36" s="29">
        <f t="shared" si="5"/>
        <v>78.19660469533197</v>
      </c>
      <c r="H36" s="29">
        <f t="shared" si="6"/>
        <v>23.539662628991255</v>
      </c>
    </row>
    <row r="37" spans="1:8" s="15" customFormat="1" ht="27" x14ac:dyDescent="0.25">
      <c r="A37" s="14" t="s">
        <v>57</v>
      </c>
      <c r="B37" s="25">
        <f>SUM(B38:B39)</f>
        <v>605332598</v>
      </c>
      <c r="C37" s="25">
        <f>SUM(C38:C39)</f>
        <v>605332598</v>
      </c>
      <c r="D37" s="25">
        <f t="shared" ref="D37:E37" si="16">SUM(D38:D39)</f>
        <v>335152094</v>
      </c>
      <c r="E37" s="25">
        <f t="shared" si="16"/>
        <v>304994113.72000003</v>
      </c>
      <c r="F37" s="25">
        <f t="shared" si="2"/>
        <v>-30157980.279999971</v>
      </c>
      <c r="G37" s="31">
        <f t="shared" si="5"/>
        <v>91.001703161072896</v>
      </c>
      <c r="H37" s="31">
        <f t="shared" si="6"/>
        <v>50.384551357004568</v>
      </c>
    </row>
    <row r="38" spans="1:8" ht="26.25" customHeight="1" x14ac:dyDescent="0.25">
      <c r="A38" s="2" t="s">
        <v>23</v>
      </c>
      <c r="B38" s="26">
        <v>299170</v>
      </c>
      <c r="C38" s="26">
        <v>299170</v>
      </c>
      <c r="D38" s="26">
        <v>128770</v>
      </c>
      <c r="E38" s="26">
        <v>27000</v>
      </c>
      <c r="F38" s="26">
        <f t="shared" si="2"/>
        <v>-101770</v>
      </c>
      <c r="G38" s="30">
        <f t="shared" si="5"/>
        <v>20.967616680903937</v>
      </c>
      <c r="H38" s="30">
        <f t="shared" si="6"/>
        <v>9.0249690811244445</v>
      </c>
    </row>
    <row r="39" spans="1:8" x14ac:dyDescent="0.25">
      <c r="A39" s="2" t="s">
        <v>4</v>
      </c>
      <c r="B39" s="26">
        <v>605033428</v>
      </c>
      <c r="C39" s="26">
        <v>605033428</v>
      </c>
      <c r="D39" s="26">
        <f>4376713+428832+330217779</f>
        <v>335023324</v>
      </c>
      <c r="E39" s="26">
        <f>2042290.55+404100.5+302520722.67</f>
        <v>304967113.72000003</v>
      </c>
      <c r="F39" s="26">
        <f t="shared" si="2"/>
        <v>-30056210.279999971</v>
      </c>
      <c r="G39" s="30">
        <f t="shared" si="5"/>
        <v>91.028621553525042</v>
      </c>
      <c r="H39" s="30">
        <f t="shared" si="6"/>
        <v>50.405002369555028</v>
      </c>
    </row>
    <row r="40" spans="1:8" s="15" customFormat="1" ht="27" x14ac:dyDescent="0.25">
      <c r="A40" s="14" t="s">
        <v>47</v>
      </c>
      <c r="B40" s="25">
        <f>SUM(B41:B42)</f>
        <v>440939100</v>
      </c>
      <c r="C40" s="25">
        <f>SUM(C41:C42)</f>
        <v>968748638</v>
      </c>
      <c r="D40" s="25">
        <f t="shared" ref="D40:E40" si="17">SUM(D41:D42)</f>
        <v>133896370</v>
      </c>
      <c r="E40" s="25">
        <f t="shared" si="17"/>
        <v>59569705.380000003</v>
      </c>
      <c r="F40" s="25">
        <f t="shared" si="2"/>
        <v>-74326664.620000005</v>
      </c>
      <c r="G40" s="31">
        <f t="shared" si="5"/>
        <v>44.489410265565823</v>
      </c>
      <c r="H40" s="31">
        <f t="shared" si="6"/>
        <v>6.1491395232289348</v>
      </c>
    </row>
    <row r="41" spans="1:8" s="3" customFormat="1" x14ac:dyDescent="0.25">
      <c r="A41" s="2" t="s">
        <v>4</v>
      </c>
      <c r="B41" s="26">
        <v>0</v>
      </c>
      <c r="C41" s="26">
        <v>17964188</v>
      </c>
      <c r="D41" s="26">
        <v>3320000</v>
      </c>
      <c r="E41" s="26">
        <v>3183025</v>
      </c>
      <c r="F41" s="26">
        <f t="shared" si="2"/>
        <v>-136975</v>
      </c>
      <c r="G41" s="30">
        <f t="shared" si="5"/>
        <v>95.874246987951807</v>
      </c>
      <c r="H41" s="30">
        <f t="shared" si="6"/>
        <v>17.718724609205829</v>
      </c>
    </row>
    <row r="42" spans="1:8" ht="25.5" x14ac:dyDescent="0.25">
      <c r="A42" s="2" t="s">
        <v>25</v>
      </c>
      <c r="B42" s="26">
        <v>440939100</v>
      </c>
      <c r="C42" s="26">
        <f>161430386+789354064</f>
        <v>950784450</v>
      </c>
      <c r="D42" s="26">
        <v>130576370</v>
      </c>
      <c r="E42" s="26">
        <v>56386680.380000003</v>
      </c>
      <c r="F42" s="26">
        <f t="shared" si="2"/>
        <v>-74189689.620000005</v>
      </c>
      <c r="G42" s="30">
        <f t="shared" si="5"/>
        <v>43.182913095225423</v>
      </c>
      <c r="H42" s="30">
        <f t="shared" si="6"/>
        <v>5.9305429721741874</v>
      </c>
    </row>
    <row r="43" spans="1:8" s="15" customFormat="1" ht="27" x14ac:dyDescent="0.25">
      <c r="A43" s="14" t="s">
        <v>48</v>
      </c>
      <c r="B43" s="25">
        <f>SUM(B44:B44)</f>
        <v>21164300</v>
      </c>
      <c r="C43" s="25">
        <f>SUM(C44:C44)</f>
        <v>21208300</v>
      </c>
      <c r="D43" s="25">
        <f>SUM(D44:D44)</f>
        <v>11184375</v>
      </c>
      <c r="E43" s="25">
        <f>SUM(E44:E44)</f>
        <v>10961955.630000001</v>
      </c>
      <c r="F43" s="25">
        <f t="shared" si="2"/>
        <v>-222419.36999999918</v>
      </c>
      <c r="G43" s="31">
        <f t="shared" si="5"/>
        <v>98.011338407376371</v>
      </c>
      <c r="H43" s="31">
        <f t="shared" si="6"/>
        <v>51.687101889354651</v>
      </c>
    </row>
    <row r="44" spans="1:8" x14ac:dyDescent="0.25">
      <c r="A44" s="2" t="s">
        <v>4</v>
      </c>
      <c r="B44" s="26">
        <v>21164300</v>
      </c>
      <c r="C44" s="26">
        <v>21208300</v>
      </c>
      <c r="D44" s="26">
        <v>11184375</v>
      </c>
      <c r="E44" s="26">
        <v>10961955.630000001</v>
      </c>
      <c r="F44" s="26">
        <f t="shared" si="2"/>
        <v>-222419.36999999918</v>
      </c>
      <c r="G44" s="30">
        <f t="shared" si="5"/>
        <v>98.011338407376371</v>
      </c>
      <c r="H44" s="30">
        <f t="shared" si="6"/>
        <v>51.687101889354651</v>
      </c>
    </row>
    <row r="45" spans="1:8" s="3" customFormat="1" ht="29.25" customHeight="1" x14ac:dyDescent="0.25">
      <c r="A45" s="21" t="s">
        <v>33</v>
      </c>
      <c r="B45" s="24">
        <f>B46+B52+B55+B49</f>
        <v>1980927646</v>
      </c>
      <c r="C45" s="24">
        <f>C46+C52+C55+C49</f>
        <v>1544413144</v>
      </c>
      <c r="D45" s="24">
        <f>D46+D52+D55+D49</f>
        <v>173270103.96000001</v>
      </c>
      <c r="E45" s="24">
        <f>E46+E52+E55+E49</f>
        <v>97020707.969999999</v>
      </c>
      <c r="F45" s="24">
        <f t="shared" si="2"/>
        <v>-76249395.99000001</v>
      </c>
      <c r="G45" s="29">
        <f t="shared" si="5"/>
        <v>55.99391109755296</v>
      </c>
      <c r="H45" s="29">
        <f t="shared" si="6"/>
        <v>6.2820436582609132</v>
      </c>
    </row>
    <row r="46" spans="1:8" s="15" customFormat="1" ht="16.5" customHeight="1" x14ac:dyDescent="0.25">
      <c r="A46" s="14" t="s">
        <v>49</v>
      </c>
      <c r="B46" s="25">
        <f>SUM(B47:B48)</f>
        <v>152167946</v>
      </c>
      <c r="C46" s="25">
        <f>SUM(C47:C48)</f>
        <v>171630046</v>
      </c>
      <c r="D46" s="25">
        <f t="shared" ref="D46:E46" si="18">SUM(D47:D48)</f>
        <v>31011371.960000001</v>
      </c>
      <c r="E46" s="25">
        <f t="shared" si="18"/>
        <v>26111476.949999999</v>
      </c>
      <c r="F46" s="25">
        <f t="shared" si="2"/>
        <v>-4899895.0100000016</v>
      </c>
      <c r="G46" s="31">
        <f t="shared" si="5"/>
        <v>84.199683211951637</v>
      </c>
      <c r="H46" s="31">
        <f t="shared" si="6"/>
        <v>15.213814573003143</v>
      </c>
    </row>
    <row r="47" spans="1:8" ht="25.5" x14ac:dyDescent="0.25">
      <c r="A47" s="2" t="s">
        <v>25</v>
      </c>
      <c r="B47" s="26">
        <v>143836546</v>
      </c>
      <c r="C47" s="26">
        <v>132580815</v>
      </c>
      <c r="D47" s="26">
        <f>2972057+22256823</f>
        <v>25228880</v>
      </c>
      <c r="E47" s="26">
        <f>2028413.91+21749611</f>
        <v>23778024.91</v>
      </c>
      <c r="F47" s="26">
        <f t="shared" si="2"/>
        <v>-1450855.0899999999</v>
      </c>
      <c r="G47" s="30">
        <f t="shared" si="5"/>
        <v>94.249229097764157</v>
      </c>
      <c r="H47" s="30">
        <f t="shared" si="6"/>
        <v>17.934740339316814</v>
      </c>
    </row>
    <row r="48" spans="1:8" ht="19.5" customHeight="1" x14ac:dyDescent="0.25">
      <c r="A48" s="2" t="s">
        <v>3</v>
      </c>
      <c r="B48" s="26">
        <v>8331400</v>
      </c>
      <c r="C48" s="26">
        <v>39049231</v>
      </c>
      <c r="D48" s="26">
        <v>5782491.96</v>
      </c>
      <c r="E48" s="26">
        <v>2333452.04</v>
      </c>
      <c r="F48" s="26">
        <f t="shared" si="2"/>
        <v>-3449039.92</v>
      </c>
      <c r="G48" s="30">
        <f t="shared" si="5"/>
        <v>40.35374465094803</v>
      </c>
      <c r="H48" s="30">
        <f t="shared" si="6"/>
        <v>5.9756670752363856</v>
      </c>
    </row>
    <row r="49" spans="1:8" s="15" customFormat="1" ht="27" x14ac:dyDescent="0.25">
      <c r="A49" s="14" t="s">
        <v>50</v>
      </c>
      <c r="B49" s="25">
        <f>SUM(B50:B51)</f>
        <v>1668627600</v>
      </c>
      <c r="C49" s="25">
        <f>SUM(C50:C51)</f>
        <v>1212430614</v>
      </c>
      <c r="D49" s="25">
        <f t="shared" ref="D49:E49" si="19">SUM(D50:D51)</f>
        <v>83959819</v>
      </c>
      <c r="E49" s="25">
        <f t="shared" si="19"/>
        <v>16967630.800000001</v>
      </c>
      <c r="F49" s="25">
        <f t="shared" si="2"/>
        <v>-66992188.200000003</v>
      </c>
      <c r="G49" s="31">
        <f t="shared" si="5"/>
        <v>20.209227463913422</v>
      </c>
      <c r="H49" s="31">
        <f t="shared" si="6"/>
        <v>1.3994723165246634</v>
      </c>
    </row>
    <row r="50" spans="1:8" x14ac:dyDescent="0.25">
      <c r="A50" s="2" t="s">
        <v>27</v>
      </c>
      <c r="B50" s="26">
        <v>1446026400</v>
      </c>
      <c r="C50" s="26">
        <v>987704701</v>
      </c>
      <c r="D50" s="26">
        <f>10963900+120392+1084443+18248281+46790461+4627629</f>
        <v>81835106</v>
      </c>
      <c r="E50" s="26">
        <f>16794838</f>
        <v>16794838</v>
      </c>
      <c r="F50" s="26">
        <f t="shared" si="2"/>
        <v>-65040268</v>
      </c>
      <c r="G50" s="30">
        <f t="shared" si="5"/>
        <v>20.522779062570041</v>
      </c>
      <c r="H50" s="30">
        <f t="shared" si="6"/>
        <v>1.7003906109787768</v>
      </c>
    </row>
    <row r="51" spans="1:8" ht="15" customHeight="1" x14ac:dyDescent="0.25">
      <c r="A51" s="2" t="s">
        <v>3</v>
      </c>
      <c r="B51" s="26">
        <v>222601200</v>
      </c>
      <c r="C51" s="26">
        <v>224725913</v>
      </c>
      <c r="D51" s="26">
        <f>2124713</f>
        <v>2124713</v>
      </c>
      <c r="E51" s="26">
        <v>172792.8</v>
      </c>
      <c r="F51" s="26">
        <f t="shared" si="2"/>
        <v>-1951920.2</v>
      </c>
      <c r="G51" s="30">
        <f t="shared" si="5"/>
        <v>8.1325242515106737</v>
      </c>
      <c r="H51" s="30">
        <f t="shared" si="6"/>
        <v>7.6890465230861016E-2</v>
      </c>
    </row>
    <row r="52" spans="1:8" s="15" customFormat="1" ht="27" x14ac:dyDescent="0.25">
      <c r="A52" s="14" t="s">
        <v>51</v>
      </c>
      <c r="B52" s="25">
        <f>SUM(B53:B54)</f>
        <v>40517400</v>
      </c>
      <c r="C52" s="25">
        <f>SUM(C53:C54)</f>
        <v>40517400</v>
      </c>
      <c r="D52" s="25">
        <f>SUM(D53:D54)</f>
        <v>0</v>
      </c>
      <c r="E52" s="25">
        <f>SUM(E53:E54)</f>
        <v>0</v>
      </c>
      <c r="F52" s="25">
        <f t="shared" si="2"/>
        <v>0</v>
      </c>
      <c r="G52" s="31">
        <v>0</v>
      </c>
      <c r="H52" s="31">
        <f t="shared" si="6"/>
        <v>0</v>
      </c>
    </row>
    <row r="53" spans="1:8" ht="30" customHeight="1" x14ac:dyDescent="0.25">
      <c r="A53" s="2" t="s">
        <v>23</v>
      </c>
      <c r="B53" s="26">
        <v>13493700</v>
      </c>
      <c r="C53" s="26">
        <v>13493700</v>
      </c>
      <c r="D53" s="26">
        <v>0</v>
      </c>
      <c r="E53" s="26">
        <v>0</v>
      </c>
      <c r="F53" s="26">
        <f t="shared" si="2"/>
        <v>0</v>
      </c>
      <c r="G53" s="30">
        <v>0</v>
      </c>
      <c r="H53" s="30">
        <f t="shared" si="6"/>
        <v>0</v>
      </c>
    </row>
    <row r="54" spans="1:8" ht="14.25" customHeight="1" x14ac:dyDescent="0.25">
      <c r="A54" s="2" t="s">
        <v>3</v>
      </c>
      <c r="B54" s="26">
        <v>27023700</v>
      </c>
      <c r="C54" s="26">
        <v>27023700</v>
      </c>
      <c r="D54" s="26">
        <v>0</v>
      </c>
      <c r="E54" s="26">
        <v>0</v>
      </c>
      <c r="F54" s="26">
        <f t="shared" si="2"/>
        <v>0</v>
      </c>
      <c r="G54" s="30">
        <v>0</v>
      </c>
      <c r="H54" s="30">
        <f t="shared" si="6"/>
        <v>0</v>
      </c>
    </row>
    <row r="55" spans="1:8" s="15" customFormat="1" ht="14.25" customHeight="1" x14ac:dyDescent="0.25">
      <c r="A55" s="14" t="s">
        <v>15</v>
      </c>
      <c r="B55" s="25">
        <f>B56</f>
        <v>119614700</v>
      </c>
      <c r="C55" s="25">
        <f>C56</f>
        <v>119835084</v>
      </c>
      <c r="D55" s="25">
        <f t="shared" ref="D55:E55" si="20">D56</f>
        <v>58298913</v>
      </c>
      <c r="E55" s="25">
        <f t="shared" si="20"/>
        <v>53941600.219999999</v>
      </c>
      <c r="F55" s="25">
        <f t="shared" si="2"/>
        <v>-4357312.7800000012</v>
      </c>
      <c r="G55" s="31">
        <f t="shared" si="5"/>
        <v>92.525910766123545</v>
      </c>
      <c r="H55" s="31">
        <f t="shared" si="6"/>
        <v>45.013195150762357</v>
      </c>
    </row>
    <row r="56" spans="1:8" ht="25.5" customHeight="1" x14ac:dyDescent="0.25">
      <c r="A56" s="2" t="s">
        <v>25</v>
      </c>
      <c r="B56" s="26">
        <v>119614700</v>
      </c>
      <c r="C56" s="26">
        <v>119835084</v>
      </c>
      <c r="D56" s="26">
        <v>58298913</v>
      </c>
      <c r="E56" s="26">
        <v>53941600.219999999</v>
      </c>
      <c r="F56" s="26">
        <f t="shared" si="2"/>
        <v>-4357312.7800000012</v>
      </c>
      <c r="G56" s="30">
        <f t="shared" si="5"/>
        <v>92.525910766123545</v>
      </c>
      <c r="H56" s="30">
        <f t="shared" si="6"/>
        <v>45.013195150762357</v>
      </c>
    </row>
    <row r="57" spans="1:8" s="3" customFormat="1" ht="39.75" customHeight="1" x14ac:dyDescent="0.25">
      <c r="A57" s="21" t="s">
        <v>52</v>
      </c>
      <c r="B57" s="24">
        <f>B58+B61+B64+B71+B74+B76</f>
        <v>1174783640</v>
      </c>
      <c r="C57" s="24">
        <f>C58+C61+C64+C71+C74+C76</f>
        <v>1932898305.02</v>
      </c>
      <c r="D57" s="24">
        <f>D58+D61+D64+D71+D74+D76</f>
        <v>453048138.23000002</v>
      </c>
      <c r="E57" s="24">
        <f>E58+E61+E64+E71+E74+E76</f>
        <v>235653790.10999998</v>
      </c>
      <c r="F57" s="24">
        <f t="shared" si="2"/>
        <v>-217394348.12000003</v>
      </c>
      <c r="G57" s="29">
        <f t="shared" si="5"/>
        <v>52.015176804537511</v>
      </c>
      <c r="H57" s="29">
        <f t="shared" si="6"/>
        <v>12.191732461970451</v>
      </c>
    </row>
    <row r="58" spans="1:8" s="15" customFormat="1" ht="26.25" customHeight="1" x14ac:dyDescent="0.25">
      <c r="A58" s="14" t="s">
        <v>12</v>
      </c>
      <c r="B58" s="25">
        <f>SUM(B59:B60)</f>
        <v>283483300</v>
      </c>
      <c r="C58" s="25">
        <f>SUM(C59:C60)</f>
        <v>583919007</v>
      </c>
      <c r="D58" s="25">
        <f t="shared" ref="D58:E58" si="21">SUM(D59:D60)</f>
        <v>23503455</v>
      </c>
      <c r="E58" s="25">
        <f t="shared" si="21"/>
        <v>550094.88</v>
      </c>
      <c r="F58" s="25">
        <f t="shared" si="2"/>
        <v>-22953360.120000001</v>
      </c>
      <c r="G58" s="31">
        <f t="shared" si="5"/>
        <v>2.3404851754773923</v>
      </c>
      <c r="H58" s="31">
        <f t="shared" si="6"/>
        <v>9.420739407443196E-2</v>
      </c>
    </row>
    <row r="59" spans="1:8" ht="25.5" customHeight="1" x14ac:dyDescent="0.25">
      <c r="A59" s="2" t="s">
        <v>25</v>
      </c>
      <c r="B59" s="26">
        <v>277487100</v>
      </c>
      <c r="C59" s="26">
        <v>570539893</v>
      </c>
      <c r="D59" s="26">
        <v>13148841</v>
      </c>
      <c r="E59" s="26">
        <v>0</v>
      </c>
      <c r="F59" s="26">
        <f t="shared" si="2"/>
        <v>-13148841</v>
      </c>
      <c r="G59" s="30">
        <f t="shared" si="5"/>
        <v>0</v>
      </c>
      <c r="H59" s="30">
        <f t="shared" si="6"/>
        <v>0</v>
      </c>
    </row>
    <row r="60" spans="1:8" ht="17.25" customHeight="1" x14ac:dyDescent="0.25">
      <c r="A60" s="2" t="s">
        <v>3</v>
      </c>
      <c r="B60" s="26">
        <v>5996200</v>
      </c>
      <c r="C60" s="26">
        <v>13379114</v>
      </c>
      <c r="D60" s="26">
        <v>10354614</v>
      </c>
      <c r="E60" s="26">
        <v>550094.88</v>
      </c>
      <c r="F60" s="26">
        <f t="shared" si="2"/>
        <v>-9804519.1199999992</v>
      </c>
      <c r="G60" s="30">
        <f t="shared" si="5"/>
        <v>5.3125580538299157</v>
      </c>
      <c r="H60" s="30">
        <f t="shared" si="6"/>
        <v>4.111594235612313</v>
      </c>
    </row>
    <row r="61" spans="1:8" s="15" customFormat="1" ht="27" x14ac:dyDescent="0.25">
      <c r="A61" s="14" t="s">
        <v>13</v>
      </c>
      <c r="B61" s="25">
        <f>SUM(B62:B63)</f>
        <v>34811200</v>
      </c>
      <c r="C61" s="25">
        <f>SUM(C62:C63)</f>
        <v>41913109</v>
      </c>
      <c r="D61" s="25">
        <f t="shared" ref="D61" si="22">SUM(D62:D63)</f>
        <v>23309373</v>
      </c>
      <c r="E61" s="25">
        <f>SUM(E62:E63)</f>
        <v>13681577.18</v>
      </c>
      <c r="F61" s="25">
        <f t="shared" si="2"/>
        <v>-9627795.8200000003</v>
      </c>
      <c r="G61" s="31">
        <f t="shared" si="5"/>
        <v>58.695603609758187</v>
      </c>
      <c r="H61" s="31">
        <f t="shared" si="6"/>
        <v>32.642716101065183</v>
      </c>
    </row>
    <row r="62" spans="1:8" x14ac:dyDescent="0.25">
      <c r="A62" s="2" t="s">
        <v>27</v>
      </c>
      <c r="B62" s="26">
        <v>1589000</v>
      </c>
      <c r="C62" s="26">
        <v>1589000</v>
      </c>
      <c r="D62" s="26">
        <v>687084</v>
      </c>
      <c r="E62" s="26">
        <v>680317.62</v>
      </c>
      <c r="F62" s="26">
        <f t="shared" si="2"/>
        <v>-6766.3800000000047</v>
      </c>
      <c r="G62" s="30">
        <f t="shared" si="5"/>
        <v>99.015203381245968</v>
      </c>
      <c r="H62" s="30">
        <f t="shared" si="6"/>
        <v>42.814198867212085</v>
      </c>
    </row>
    <row r="63" spans="1:8" ht="15" customHeight="1" x14ac:dyDescent="0.25">
      <c r="A63" s="2" t="s">
        <v>3</v>
      </c>
      <c r="B63" s="26">
        <v>33222200</v>
      </c>
      <c r="C63" s="26">
        <v>40324109</v>
      </c>
      <c r="D63" s="26">
        <f>19855658+2766631</f>
        <v>22622289</v>
      </c>
      <c r="E63" s="26">
        <f>10234628.66+2766630.9</f>
        <v>13001259.560000001</v>
      </c>
      <c r="F63" s="26">
        <f t="shared" si="2"/>
        <v>-9621029.4399999995</v>
      </c>
      <c r="G63" s="30">
        <f t="shared" si="5"/>
        <v>57.47101701335351</v>
      </c>
      <c r="H63" s="30">
        <f t="shared" si="6"/>
        <v>32.241901637553852</v>
      </c>
    </row>
    <row r="64" spans="1:8" s="15" customFormat="1" x14ac:dyDescent="0.25">
      <c r="A64" s="14" t="s">
        <v>14</v>
      </c>
      <c r="B64" s="25">
        <f>SUM(B65:B70)</f>
        <v>4855800</v>
      </c>
      <c r="C64" s="25">
        <f>SUM(C65:C70)</f>
        <v>17119282</v>
      </c>
      <c r="D64" s="25">
        <f t="shared" ref="D64:E64" si="23">SUM(D65:D70)</f>
        <v>15656382</v>
      </c>
      <c r="E64" s="25">
        <f t="shared" si="23"/>
        <v>8199910</v>
      </c>
      <c r="F64" s="25">
        <f t="shared" si="2"/>
        <v>-7456472</v>
      </c>
      <c r="G64" s="31">
        <f t="shared" si="5"/>
        <v>52.374233076326313</v>
      </c>
      <c r="H64" s="31">
        <f t="shared" si="6"/>
        <v>47.898679395549415</v>
      </c>
    </row>
    <row r="65" spans="1:8" x14ac:dyDescent="0.25">
      <c r="A65" s="2" t="s">
        <v>18</v>
      </c>
      <c r="B65" s="26">
        <v>285000</v>
      </c>
      <c r="C65" s="26">
        <v>285000</v>
      </c>
      <c r="D65" s="26">
        <v>0</v>
      </c>
      <c r="E65" s="26">
        <v>0</v>
      </c>
      <c r="F65" s="26">
        <f t="shared" si="2"/>
        <v>0</v>
      </c>
      <c r="G65" s="30">
        <v>0</v>
      </c>
      <c r="H65" s="30">
        <f t="shared" si="6"/>
        <v>0</v>
      </c>
    </row>
    <row r="66" spans="1:8" ht="22.5" customHeight="1" x14ac:dyDescent="0.25">
      <c r="A66" s="2" t="s">
        <v>23</v>
      </c>
      <c r="B66" s="26">
        <v>2755000</v>
      </c>
      <c r="C66" s="26">
        <v>15383147</v>
      </c>
      <c r="D66" s="26">
        <v>15046747</v>
      </c>
      <c r="E66" s="26">
        <v>7999910</v>
      </c>
      <c r="F66" s="26">
        <f t="shared" si="2"/>
        <v>-7046837</v>
      </c>
      <c r="G66" s="30">
        <f t="shared" si="5"/>
        <v>53.167040025329058</v>
      </c>
      <c r="H66" s="30">
        <f t="shared" si="6"/>
        <v>52.004378557911458</v>
      </c>
    </row>
    <row r="67" spans="1:8" x14ac:dyDescent="0.25">
      <c r="A67" s="11" t="s">
        <v>26</v>
      </c>
      <c r="B67" s="26">
        <v>200000</v>
      </c>
      <c r="C67" s="26">
        <v>200000</v>
      </c>
      <c r="D67" s="26">
        <v>200000</v>
      </c>
      <c r="E67" s="26">
        <v>200000</v>
      </c>
      <c r="F67" s="26">
        <f t="shared" si="2"/>
        <v>0</v>
      </c>
      <c r="G67" s="30">
        <f t="shared" si="5"/>
        <v>100</v>
      </c>
      <c r="H67" s="30">
        <f t="shared" si="6"/>
        <v>100</v>
      </c>
    </row>
    <row r="68" spans="1:8" x14ac:dyDescent="0.25">
      <c r="A68" s="2" t="s">
        <v>4</v>
      </c>
      <c r="B68" s="26">
        <v>795000</v>
      </c>
      <c r="C68" s="26">
        <v>795000</v>
      </c>
      <c r="D68" s="26">
        <v>0</v>
      </c>
      <c r="E68" s="26">
        <v>0</v>
      </c>
      <c r="F68" s="26">
        <f t="shared" si="2"/>
        <v>0</v>
      </c>
      <c r="G68" s="30">
        <v>0</v>
      </c>
      <c r="H68" s="30">
        <f t="shared" si="6"/>
        <v>0</v>
      </c>
    </row>
    <row r="69" spans="1:8" ht="25.5" x14ac:dyDescent="0.25">
      <c r="A69" s="2" t="s">
        <v>25</v>
      </c>
      <c r="B69" s="26">
        <v>0</v>
      </c>
      <c r="C69" s="26">
        <v>11200</v>
      </c>
      <c r="D69" s="26">
        <v>11200</v>
      </c>
      <c r="E69" s="26">
        <v>0</v>
      </c>
      <c r="F69" s="26">
        <f t="shared" si="2"/>
        <v>-11200</v>
      </c>
      <c r="G69" s="30">
        <f t="shared" si="5"/>
        <v>0</v>
      </c>
      <c r="H69" s="30">
        <f t="shared" si="6"/>
        <v>0</v>
      </c>
    </row>
    <row r="70" spans="1:8" ht="17.25" customHeight="1" x14ac:dyDescent="0.25">
      <c r="A70" s="2" t="s">
        <v>3</v>
      </c>
      <c r="B70" s="26">
        <v>820800</v>
      </c>
      <c r="C70" s="26">
        <v>444935</v>
      </c>
      <c r="D70" s="26">
        <v>398435</v>
      </c>
      <c r="E70" s="26">
        <v>0</v>
      </c>
      <c r="F70" s="26">
        <f t="shared" si="2"/>
        <v>-398435</v>
      </c>
      <c r="G70" s="30">
        <f t="shared" si="5"/>
        <v>0</v>
      </c>
      <c r="H70" s="30">
        <f t="shared" si="6"/>
        <v>0</v>
      </c>
    </row>
    <row r="71" spans="1:8" s="15" customFormat="1" x14ac:dyDescent="0.25">
      <c r="A71" s="14" t="s">
        <v>28</v>
      </c>
      <c r="B71" s="25">
        <f>SUM(B73:B73)</f>
        <v>533240340</v>
      </c>
      <c r="C71" s="25">
        <f>SUM(C72:C73)</f>
        <v>918224085.01999998</v>
      </c>
      <c r="D71" s="25">
        <f t="shared" ref="D71:E71" si="24">SUM(D72:D73)</f>
        <v>243212117.23000002</v>
      </c>
      <c r="E71" s="25">
        <f t="shared" si="24"/>
        <v>79344310.569999993</v>
      </c>
      <c r="F71" s="25">
        <f t="shared" ref="F71:F134" si="25">E71-D71</f>
        <v>-163867806.66000003</v>
      </c>
      <c r="G71" s="31">
        <f t="shared" si="5"/>
        <v>32.623502263649932</v>
      </c>
      <c r="H71" s="31">
        <f t="shared" si="6"/>
        <v>8.6410617913896015</v>
      </c>
    </row>
    <row r="72" spans="1:8" ht="25.5" x14ac:dyDescent="0.25">
      <c r="A72" s="2" t="s">
        <v>25</v>
      </c>
      <c r="B72" s="26">
        <v>0</v>
      </c>
      <c r="C72" s="26">
        <v>287925758</v>
      </c>
      <c r="D72" s="26">
        <f>115170303</f>
        <v>115170303</v>
      </c>
      <c r="E72" s="26">
        <v>0</v>
      </c>
      <c r="F72" s="26">
        <f t="shared" si="25"/>
        <v>-115170303</v>
      </c>
      <c r="G72" s="30">
        <f t="shared" ref="G72:G135" si="26">(E72/D72)*100</f>
        <v>0</v>
      </c>
      <c r="H72" s="30">
        <f t="shared" ref="H72:H135" si="27">(E72/C72)*100</f>
        <v>0</v>
      </c>
    </row>
    <row r="73" spans="1:8" ht="18" customHeight="1" x14ac:dyDescent="0.25">
      <c r="A73" s="2" t="s">
        <v>3</v>
      </c>
      <c r="B73" s="26">
        <v>533240340</v>
      </c>
      <c r="C73" s="26">
        <v>630298327.01999998</v>
      </c>
      <c r="D73" s="26">
        <f>1916800+3100000+92242710+2285123+25718416+2111848.8+666916.43</f>
        <v>128041814.23</v>
      </c>
      <c r="E73" s="26">
        <v>79344310.569999993</v>
      </c>
      <c r="F73" s="26">
        <f t="shared" si="25"/>
        <v>-48697503.660000011</v>
      </c>
      <c r="G73" s="30">
        <f t="shared" si="26"/>
        <v>61.967499482219722</v>
      </c>
      <c r="H73" s="30">
        <f t="shared" si="27"/>
        <v>12.588373976039813</v>
      </c>
    </row>
    <row r="74" spans="1:8" s="15" customFormat="1" x14ac:dyDescent="0.25">
      <c r="A74" s="14" t="s">
        <v>15</v>
      </c>
      <c r="B74" s="25">
        <f t="shared" ref="B74:C74" si="28">B75</f>
        <v>279614600</v>
      </c>
      <c r="C74" s="25">
        <f t="shared" si="28"/>
        <v>291593725</v>
      </c>
      <c r="D74" s="25">
        <f>SUM(D75:D75)</f>
        <v>141310185</v>
      </c>
      <c r="E74" s="25">
        <f>SUM(E75:E75)</f>
        <v>133566517.95999999</v>
      </c>
      <c r="F74" s="25">
        <f t="shared" si="25"/>
        <v>-7743667.0400000066</v>
      </c>
      <c r="G74" s="31">
        <f t="shared" si="26"/>
        <v>94.520092773213761</v>
      </c>
      <c r="H74" s="31">
        <f t="shared" si="27"/>
        <v>45.805690077864327</v>
      </c>
    </row>
    <row r="75" spans="1:8" ht="16.5" customHeight="1" x14ac:dyDescent="0.25">
      <c r="A75" s="2" t="s">
        <v>3</v>
      </c>
      <c r="B75" s="26">
        <v>279614600</v>
      </c>
      <c r="C75" s="26">
        <v>291593725</v>
      </c>
      <c r="D75" s="26">
        <v>141310185</v>
      </c>
      <c r="E75" s="26">
        <v>133566517.95999999</v>
      </c>
      <c r="F75" s="26">
        <f t="shared" si="25"/>
        <v>-7743667.0400000066</v>
      </c>
      <c r="G75" s="30">
        <f t="shared" si="26"/>
        <v>94.520092773213761</v>
      </c>
      <c r="H75" s="30">
        <f t="shared" si="27"/>
        <v>45.805690077864327</v>
      </c>
    </row>
    <row r="76" spans="1:8" s="15" customFormat="1" ht="54" x14ac:dyDescent="0.25">
      <c r="A76" s="14" t="s">
        <v>53</v>
      </c>
      <c r="B76" s="25">
        <f t="shared" ref="B76:D76" si="29">B77</f>
        <v>38778400</v>
      </c>
      <c r="C76" s="25">
        <f t="shared" si="29"/>
        <v>80129097</v>
      </c>
      <c r="D76" s="25">
        <f t="shared" si="29"/>
        <v>6056626</v>
      </c>
      <c r="E76" s="25">
        <f>E77</f>
        <v>311379.52</v>
      </c>
      <c r="F76" s="25">
        <f t="shared" si="25"/>
        <v>-5745246.4800000004</v>
      </c>
      <c r="G76" s="31">
        <f t="shared" si="26"/>
        <v>5.1411383169441205</v>
      </c>
      <c r="H76" s="31">
        <f t="shared" si="27"/>
        <v>0.38859731565426231</v>
      </c>
    </row>
    <row r="77" spans="1:8" ht="16.5" customHeight="1" x14ac:dyDescent="0.25">
      <c r="A77" s="2" t="s">
        <v>3</v>
      </c>
      <c r="B77" s="26">
        <v>38778400</v>
      </c>
      <c r="C77" s="26">
        <v>80129097</v>
      </c>
      <c r="D77" s="26">
        <v>6056626</v>
      </c>
      <c r="E77" s="26">
        <v>311379.52</v>
      </c>
      <c r="F77" s="26">
        <f t="shared" si="25"/>
        <v>-5745246.4800000004</v>
      </c>
      <c r="G77" s="30">
        <f t="shared" si="26"/>
        <v>5.1411383169441205</v>
      </c>
      <c r="H77" s="30">
        <f t="shared" si="27"/>
        <v>0.38859731565426231</v>
      </c>
    </row>
    <row r="78" spans="1:8" s="3" customFormat="1" ht="39.75" customHeight="1" x14ac:dyDescent="0.25">
      <c r="A78" s="22" t="s">
        <v>61</v>
      </c>
      <c r="B78" s="24">
        <f>B79+B82</f>
        <v>3235063</v>
      </c>
      <c r="C78" s="24">
        <f>C79+C82</f>
        <v>3235063</v>
      </c>
      <c r="D78" s="24">
        <f t="shared" ref="D78:E78" si="30">D79+D82</f>
        <v>1038288</v>
      </c>
      <c r="E78" s="24">
        <f t="shared" si="30"/>
        <v>849326.27</v>
      </c>
      <c r="F78" s="24">
        <f t="shared" si="25"/>
        <v>-188961.72999999998</v>
      </c>
      <c r="G78" s="29">
        <f t="shared" si="26"/>
        <v>81.800643944647348</v>
      </c>
      <c r="H78" s="29">
        <f t="shared" si="27"/>
        <v>26.253778365367232</v>
      </c>
    </row>
    <row r="79" spans="1:8" s="15" customFormat="1" x14ac:dyDescent="0.25">
      <c r="A79" s="16" t="s">
        <v>2</v>
      </c>
      <c r="B79" s="25">
        <f>SUM(B80:B81)</f>
        <v>3188800</v>
      </c>
      <c r="C79" s="25">
        <f>SUM(C80:C81)</f>
        <v>3188800</v>
      </c>
      <c r="D79" s="25">
        <f>SUM(D80:D81)</f>
        <v>992025</v>
      </c>
      <c r="E79" s="25">
        <f>SUM(E80:E81)</f>
        <v>809696.27</v>
      </c>
      <c r="F79" s="25">
        <f t="shared" si="25"/>
        <v>-182328.72999999998</v>
      </c>
      <c r="G79" s="31">
        <f t="shared" si="26"/>
        <v>81.62055089337467</v>
      </c>
      <c r="H79" s="31">
        <f t="shared" si="27"/>
        <v>25.391880017561462</v>
      </c>
    </row>
    <row r="80" spans="1:8" x14ac:dyDescent="0.25">
      <c r="A80" s="4" t="s">
        <v>18</v>
      </c>
      <c r="B80" s="26">
        <v>137800</v>
      </c>
      <c r="C80" s="26">
        <v>157797</v>
      </c>
      <c r="D80" s="26">
        <f>44800+19300</f>
        <v>64100</v>
      </c>
      <c r="E80" s="26">
        <f>44800+19290</f>
        <v>64090</v>
      </c>
      <c r="F80" s="26">
        <f t="shared" si="25"/>
        <v>-10</v>
      </c>
      <c r="G80" s="30">
        <f t="shared" si="26"/>
        <v>99.984399375975045</v>
      </c>
      <c r="H80" s="30">
        <f t="shared" si="27"/>
        <v>40.615474311932417</v>
      </c>
    </row>
    <row r="81" spans="1:8" ht="15" customHeight="1" x14ac:dyDescent="0.25">
      <c r="A81" s="4" t="s">
        <v>3</v>
      </c>
      <c r="B81" s="26">
        <v>3051000</v>
      </c>
      <c r="C81" s="26">
        <v>3031003</v>
      </c>
      <c r="D81" s="26">
        <v>927925</v>
      </c>
      <c r="E81" s="26">
        <v>745606.27</v>
      </c>
      <c r="F81" s="26">
        <f t="shared" si="25"/>
        <v>-182318.72999999998</v>
      </c>
      <c r="G81" s="30">
        <f t="shared" si="26"/>
        <v>80.351997198049418</v>
      </c>
      <c r="H81" s="30">
        <f t="shared" si="27"/>
        <v>24.599324711984778</v>
      </c>
    </row>
    <row r="82" spans="1:8" s="15" customFormat="1" ht="25.5" customHeight="1" x14ac:dyDescent="0.25">
      <c r="A82" s="16" t="s">
        <v>62</v>
      </c>
      <c r="B82" s="25">
        <f>B83</f>
        <v>46263</v>
      </c>
      <c r="C82" s="25">
        <f>C83</f>
        <v>46263</v>
      </c>
      <c r="D82" s="25">
        <f t="shared" ref="D82:E82" si="31">D83</f>
        <v>46263</v>
      </c>
      <c r="E82" s="25">
        <f t="shared" si="31"/>
        <v>39630</v>
      </c>
      <c r="F82" s="25">
        <f t="shared" si="25"/>
        <v>-6633</v>
      </c>
      <c r="G82" s="31">
        <f t="shared" si="26"/>
        <v>85.66240840412425</v>
      </c>
      <c r="H82" s="31">
        <f t="shared" si="27"/>
        <v>85.66240840412425</v>
      </c>
    </row>
    <row r="83" spans="1:8" ht="15" customHeight="1" x14ac:dyDescent="0.25">
      <c r="A83" s="11" t="s">
        <v>26</v>
      </c>
      <c r="B83" s="26">
        <v>46263</v>
      </c>
      <c r="C83" s="26">
        <v>46263</v>
      </c>
      <c r="D83" s="26">
        <v>46263</v>
      </c>
      <c r="E83" s="26">
        <v>39630</v>
      </c>
      <c r="F83" s="26">
        <f t="shared" si="25"/>
        <v>-6633</v>
      </c>
      <c r="G83" s="30">
        <f t="shared" si="26"/>
        <v>85.66240840412425</v>
      </c>
      <c r="H83" s="30">
        <f t="shared" si="27"/>
        <v>85.66240840412425</v>
      </c>
    </row>
    <row r="84" spans="1:8" s="3" customFormat="1" ht="41.25" customHeight="1" x14ac:dyDescent="0.25">
      <c r="A84" s="22" t="s">
        <v>56</v>
      </c>
      <c r="B84" s="24">
        <f>B85+B88</f>
        <v>12952768</v>
      </c>
      <c r="C84" s="24">
        <f>C85+C88</f>
        <v>22922758</v>
      </c>
      <c r="D84" s="24">
        <f>D85+D88</f>
        <v>10165688</v>
      </c>
      <c r="E84" s="24">
        <f>E85+E88</f>
        <v>7382011.25</v>
      </c>
      <c r="F84" s="24">
        <f t="shared" si="25"/>
        <v>-2783676.75</v>
      </c>
      <c r="G84" s="29">
        <f t="shared" si="26"/>
        <v>72.61693699432837</v>
      </c>
      <c r="H84" s="29">
        <f t="shared" si="27"/>
        <v>32.203852826086631</v>
      </c>
    </row>
    <row r="85" spans="1:8" s="15" customFormat="1" ht="40.5" x14ac:dyDescent="0.25">
      <c r="A85" s="14" t="s">
        <v>19</v>
      </c>
      <c r="B85" s="25">
        <f>SUM(B86:B86)</f>
        <v>259400</v>
      </c>
      <c r="C85" s="25">
        <f>SUM(C86:C87)</f>
        <v>2745132</v>
      </c>
      <c r="D85" s="25">
        <f>SUM(D86:D86)</f>
        <v>218800</v>
      </c>
      <c r="E85" s="25">
        <f>SUM(E86:E86)</f>
        <v>32600</v>
      </c>
      <c r="F85" s="25">
        <f t="shared" si="25"/>
        <v>-186200</v>
      </c>
      <c r="G85" s="31">
        <f t="shared" si="26"/>
        <v>14.899451553930529</v>
      </c>
      <c r="H85" s="31">
        <f t="shared" si="27"/>
        <v>1.1875567367980848</v>
      </c>
    </row>
    <row r="86" spans="1:8" x14ac:dyDescent="0.25">
      <c r="A86" s="2" t="s">
        <v>18</v>
      </c>
      <c r="B86" s="26">
        <v>259400</v>
      </c>
      <c r="C86" s="26">
        <v>259400</v>
      </c>
      <c r="D86" s="26">
        <v>218800</v>
      </c>
      <c r="E86" s="26">
        <v>32600</v>
      </c>
      <c r="F86" s="26">
        <f t="shared" si="25"/>
        <v>-186200</v>
      </c>
      <c r="G86" s="30">
        <f t="shared" si="26"/>
        <v>14.899451553930529</v>
      </c>
      <c r="H86" s="30">
        <f t="shared" si="27"/>
        <v>12.567463377023902</v>
      </c>
    </row>
    <row r="87" spans="1:8" ht="25.5" x14ac:dyDescent="0.25">
      <c r="A87" s="2" t="s">
        <v>3</v>
      </c>
      <c r="B87" s="26"/>
      <c r="C87" s="26">
        <v>2485732</v>
      </c>
      <c r="D87" s="26">
        <v>0</v>
      </c>
      <c r="E87" s="26">
        <v>0</v>
      </c>
      <c r="F87" s="26">
        <f t="shared" si="25"/>
        <v>0</v>
      </c>
      <c r="G87" s="30">
        <v>0</v>
      </c>
      <c r="H87" s="30">
        <f t="shared" si="27"/>
        <v>0</v>
      </c>
    </row>
    <row r="88" spans="1:8" s="15" customFormat="1" ht="27" x14ac:dyDescent="0.25">
      <c r="A88" s="14" t="s">
        <v>9</v>
      </c>
      <c r="B88" s="25">
        <f>SUM(B90:B96)</f>
        <v>12693368</v>
      </c>
      <c r="C88" s="25">
        <f>SUM(C89:C96)</f>
        <v>20177626</v>
      </c>
      <c r="D88" s="25">
        <f t="shared" ref="D88:E88" si="32">SUM(D89:D96)</f>
        <v>9946888</v>
      </c>
      <c r="E88" s="25">
        <f t="shared" si="32"/>
        <v>7349411.25</v>
      </c>
      <c r="F88" s="25">
        <f t="shared" si="25"/>
        <v>-2597476.75</v>
      </c>
      <c r="G88" s="31">
        <f t="shared" si="26"/>
        <v>73.886538684259833</v>
      </c>
      <c r="H88" s="31">
        <f t="shared" si="27"/>
        <v>36.423567618906212</v>
      </c>
    </row>
    <row r="89" spans="1:8" x14ac:dyDescent="0.25">
      <c r="A89" s="2" t="s">
        <v>68</v>
      </c>
      <c r="B89" s="26"/>
      <c r="C89" s="26">
        <v>49600</v>
      </c>
      <c r="D89" s="26">
        <v>21600</v>
      </c>
      <c r="E89" s="26">
        <v>11640</v>
      </c>
      <c r="F89" s="26">
        <f t="shared" si="25"/>
        <v>-9960</v>
      </c>
      <c r="G89" s="30">
        <f t="shared" si="26"/>
        <v>53.888888888888886</v>
      </c>
      <c r="H89" s="30">
        <f t="shared" si="27"/>
        <v>23.467741935483872</v>
      </c>
    </row>
    <row r="90" spans="1:8" x14ac:dyDescent="0.25">
      <c r="A90" s="2" t="s">
        <v>18</v>
      </c>
      <c r="B90" s="26">
        <v>151300</v>
      </c>
      <c r="C90" s="26">
        <v>151300</v>
      </c>
      <c r="D90" s="26">
        <v>50200</v>
      </c>
      <c r="E90" s="26">
        <v>19785.95</v>
      </c>
      <c r="F90" s="26">
        <f t="shared" si="25"/>
        <v>-30414.05</v>
      </c>
      <c r="G90" s="30">
        <f t="shared" si="26"/>
        <v>39.414243027888446</v>
      </c>
      <c r="H90" s="30">
        <f t="shared" si="27"/>
        <v>13.077296761401191</v>
      </c>
    </row>
    <row r="91" spans="1:8" x14ac:dyDescent="0.25">
      <c r="A91" s="2" t="s">
        <v>27</v>
      </c>
      <c r="B91" s="26">
        <v>132900</v>
      </c>
      <c r="C91" s="26">
        <v>132900</v>
      </c>
      <c r="D91" s="26">
        <v>55300</v>
      </c>
      <c r="E91" s="26">
        <v>32300</v>
      </c>
      <c r="F91" s="26">
        <f t="shared" si="25"/>
        <v>-23000</v>
      </c>
      <c r="G91" s="30">
        <f t="shared" si="26"/>
        <v>58.408679927667272</v>
      </c>
      <c r="H91" s="30">
        <f t="shared" si="27"/>
        <v>24.303987960872835</v>
      </c>
    </row>
    <row r="92" spans="1:8" ht="26.25" customHeight="1" x14ac:dyDescent="0.25">
      <c r="A92" s="2" t="s">
        <v>23</v>
      </c>
      <c r="B92" s="26">
        <v>9276000</v>
      </c>
      <c r="C92" s="26">
        <v>16770716</v>
      </c>
      <c r="D92" s="26">
        <v>8413004</v>
      </c>
      <c r="E92" s="26">
        <v>6132233.1200000001</v>
      </c>
      <c r="F92" s="26">
        <f t="shared" si="25"/>
        <v>-2280770.88</v>
      </c>
      <c r="G92" s="30">
        <f t="shared" si="26"/>
        <v>72.889934677316219</v>
      </c>
      <c r="H92" s="30">
        <f t="shared" si="27"/>
        <v>36.565124112768949</v>
      </c>
    </row>
    <row r="93" spans="1:8" x14ac:dyDescent="0.25">
      <c r="A93" s="11" t="s">
        <v>26</v>
      </c>
      <c r="B93" s="26">
        <v>1150168</v>
      </c>
      <c r="C93" s="26">
        <v>1207858</v>
      </c>
      <c r="D93" s="26">
        <v>644818</v>
      </c>
      <c r="E93" s="26">
        <v>592251.30000000005</v>
      </c>
      <c r="F93" s="26">
        <f t="shared" si="25"/>
        <v>-52566.699999999953</v>
      </c>
      <c r="G93" s="30">
        <f t="shared" si="26"/>
        <v>91.847823727005149</v>
      </c>
      <c r="H93" s="30">
        <f t="shared" si="27"/>
        <v>49.033189331858551</v>
      </c>
    </row>
    <row r="94" spans="1:8" x14ac:dyDescent="0.25">
      <c r="A94" s="2" t="s">
        <v>4</v>
      </c>
      <c r="B94" s="26">
        <v>1373200</v>
      </c>
      <c r="C94" s="26">
        <v>1373200</v>
      </c>
      <c r="D94" s="26">
        <v>556959</v>
      </c>
      <c r="E94" s="26">
        <v>444925</v>
      </c>
      <c r="F94" s="26">
        <f t="shared" si="25"/>
        <v>-112034</v>
      </c>
      <c r="G94" s="30">
        <f t="shared" si="26"/>
        <v>79.884695282776647</v>
      </c>
      <c r="H94" s="30">
        <f t="shared" si="27"/>
        <v>32.400597145353913</v>
      </c>
    </row>
    <row r="95" spans="1:8" ht="25.5" x14ac:dyDescent="0.25">
      <c r="A95" s="2" t="s">
        <v>25</v>
      </c>
      <c r="B95" s="26">
        <v>94000</v>
      </c>
      <c r="C95" s="26">
        <v>170000</v>
      </c>
      <c r="D95" s="26">
        <v>62000</v>
      </c>
      <c r="E95" s="26">
        <v>42500</v>
      </c>
      <c r="F95" s="26">
        <f t="shared" si="25"/>
        <v>-19500</v>
      </c>
      <c r="G95" s="30">
        <f t="shared" si="26"/>
        <v>68.548387096774192</v>
      </c>
      <c r="H95" s="30">
        <f t="shared" si="27"/>
        <v>25</v>
      </c>
    </row>
    <row r="96" spans="1:8" ht="18" customHeight="1" x14ac:dyDescent="0.25">
      <c r="A96" s="2" t="s">
        <v>3</v>
      </c>
      <c r="B96" s="26">
        <v>515800</v>
      </c>
      <c r="C96" s="26">
        <v>322052</v>
      </c>
      <c r="D96" s="26">
        <v>143007</v>
      </c>
      <c r="E96" s="26">
        <v>73775.88</v>
      </c>
      <c r="F96" s="26">
        <f t="shared" si="25"/>
        <v>-69231.12</v>
      </c>
      <c r="G96" s="30">
        <f t="shared" si="26"/>
        <v>51.588999139902249</v>
      </c>
      <c r="H96" s="30">
        <f t="shared" si="27"/>
        <v>22.908064536161863</v>
      </c>
    </row>
    <row r="97" spans="1:8" s="3" customFormat="1" ht="24.75" customHeight="1" x14ac:dyDescent="0.25">
      <c r="A97" s="22" t="s">
        <v>34</v>
      </c>
      <c r="B97" s="24">
        <f>B98+B101+B103+B105</f>
        <v>426619100</v>
      </c>
      <c r="C97" s="24">
        <f>C98+C101+C103+C105</f>
        <v>440052455</v>
      </c>
      <c r="D97" s="24">
        <f>D98+D103+D101+D105</f>
        <v>221228997</v>
      </c>
      <c r="E97" s="24">
        <f>E98+E103+E101+E105</f>
        <v>199699228.63</v>
      </c>
      <c r="F97" s="24">
        <f t="shared" si="25"/>
        <v>-21529768.370000005</v>
      </c>
      <c r="G97" s="29">
        <f t="shared" si="26"/>
        <v>90.268107408180313</v>
      </c>
      <c r="H97" s="29">
        <f t="shared" si="27"/>
        <v>45.380778214269938</v>
      </c>
    </row>
    <row r="98" spans="1:8" s="15" customFormat="1" x14ac:dyDescent="0.25">
      <c r="A98" s="16" t="s">
        <v>7</v>
      </c>
      <c r="B98" s="25">
        <f>SUM(B99:B100)</f>
        <v>303522400</v>
      </c>
      <c r="C98" s="25">
        <f>SUM(C99:C100)</f>
        <v>304784319</v>
      </c>
      <c r="D98" s="25">
        <f t="shared" ref="D98:E98" si="33">SUM(D99:D100)</f>
        <v>149412126</v>
      </c>
      <c r="E98" s="25">
        <f t="shared" si="33"/>
        <v>144481472.84999999</v>
      </c>
      <c r="F98" s="25">
        <f t="shared" si="25"/>
        <v>-4930653.150000006</v>
      </c>
      <c r="G98" s="31">
        <f t="shared" si="26"/>
        <v>96.699964532999147</v>
      </c>
      <c r="H98" s="31">
        <f t="shared" si="27"/>
        <v>47.404496833710134</v>
      </c>
    </row>
    <row r="99" spans="1:8" x14ac:dyDescent="0.25">
      <c r="A99" s="4" t="s">
        <v>18</v>
      </c>
      <c r="B99" s="26">
        <v>302222400</v>
      </c>
      <c r="C99" s="26">
        <v>303584103</v>
      </c>
      <c r="D99" s="26">
        <f>148607459+704667</f>
        <v>149312126</v>
      </c>
      <c r="E99" s="26">
        <f>143833854.07+563416.76</f>
        <v>144397270.82999998</v>
      </c>
      <c r="F99" s="26">
        <f t="shared" si="25"/>
        <v>-4914855.1700000167</v>
      </c>
      <c r="G99" s="30">
        <f t="shared" si="26"/>
        <v>96.708334880986143</v>
      </c>
      <c r="H99" s="30">
        <f t="shared" si="27"/>
        <v>47.564173948199119</v>
      </c>
    </row>
    <row r="100" spans="1:8" ht="25.5" x14ac:dyDescent="0.25">
      <c r="A100" s="2" t="s">
        <v>25</v>
      </c>
      <c r="B100" s="26">
        <v>1300000</v>
      </c>
      <c r="C100" s="26">
        <v>1200216</v>
      </c>
      <c r="D100" s="26">
        <v>100000</v>
      </c>
      <c r="E100" s="26">
        <v>84202.02</v>
      </c>
      <c r="F100" s="26">
        <f t="shared" si="25"/>
        <v>-15797.979999999996</v>
      </c>
      <c r="G100" s="30">
        <f t="shared" si="26"/>
        <v>84.202020000000005</v>
      </c>
      <c r="H100" s="30">
        <f t="shared" si="27"/>
        <v>7.0155721970045395</v>
      </c>
    </row>
    <row r="101" spans="1:8" s="15" customFormat="1" x14ac:dyDescent="0.25">
      <c r="A101" s="16" t="s">
        <v>20</v>
      </c>
      <c r="B101" s="25">
        <f>SUM(B102:B102)</f>
        <v>68742700</v>
      </c>
      <c r="C101" s="25">
        <f>SUM(C102:C102)</f>
        <v>69260140</v>
      </c>
      <c r="D101" s="25">
        <f>SUM(D102:D102)</f>
        <v>40578877</v>
      </c>
      <c r="E101" s="25">
        <f>SUM(E102:E102)</f>
        <v>31998830.899999999</v>
      </c>
      <c r="F101" s="25">
        <f t="shared" si="25"/>
        <v>-8580046.1000000015</v>
      </c>
      <c r="G101" s="31">
        <f t="shared" si="26"/>
        <v>78.855880856436713</v>
      </c>
      <c r="H101" s="31">
        <f t="shared" si="27"/>
        <v>46.200933033054795</v>
      </c>
    </row>
    <row r="102" spans="1:8" x14ac:dyDescent="0.25">
      <c r="A102" s="4" t="s">
        <v>18</v>
      </c>
      <c r="B102" s="26">
        <v>68742700</v>
      </c>
      <c r="C102" s="26">
        <v>69260140</v>
      </c>
      <c r="D102" s="26">
        <v>40578877</v>
      </c>
      <c r="E102" s="26">
        <v>31998830.899999999</v>
      </c>
      <c r="F102" s="26">
        <f t="shared" si="25"/>
        <v>-8580046.1000000015</v>
      </c>
      <c r="G102" s="30">
        <f t="shared" si="26"/>
        <v>78.855880856436713</v>
      </c>
      <c r="H102" s="30">
        <f t="shared" si="27"/>
        <v>46.200933033054795</v>
      </c>
    </row>
    <row r="103" spans="1:8" s="15" customFormat="1" x14ac:dyDescent="0.25">
      <c r="A103" s="16" t="s">
        <v>8</v>
      </c>
      <c r="B103" s="25">
        <f t="shared" ref="B103:D103" si="34">B104</f>
        <v>6423200</v>
      </c>
      <c r="C103" s="25">
        <f t="shared" si="34"/>
        <v>6423200</v>
      </c>
      <c r="D103" s="25">
        <f t="shared" si="34"/>
        <v>5000000</v>
      </c>
      <c r="E103" s="25">
        <f>E104</f>
        <v>0</v>
      </c>
      <c r="F103" s="25">
        <f t="shared" si="25"/>
        <v>-5000000</v>
      </c>
      <c r="G103" s="31">
        <f t="shared" si="26"/>
        <v>0</v>
      </c>
      <c r="H103" s="31">
        <f t="shared" si="27"/>
        <v>0</v>
      </c>
    </row>
    <row r="104" spans="1:8" x14ac:dyDescent="0.25">
      <c r="A104" s="4" t="s">
        <v>18</v>
      </c>
      <c r="B104" s="26">
        <v>6423200</v>
      </c>
      <c r="C104" s="26">
        <v>6423200</v>
      </c>
      <c r="D104" s="26">
        <v>5000000</v>
      </c>
      <c r="E104" s="26">
        <v>0</v>
      </c>
      <c r="F104" s="26">
        <f t="shared" si="25"/>
        <v>-5000000</v>
      </c>
      <c r="G104" s="30">
        <f t="shared" si="26"/>
        <v>0</v>
      </c>
      <c r="H104" s="30">
        <f t="shared" si="27"/>
        <v>0</v>
      </c>
    </row>
    <row r="105" spans="1:8" s="15" customFormat="1" ht="40.5" x14ac:dyDescent="0.25">
      <c r="A105" s="16" t="s">
        <v>21</v>
      </c>
      <c r="B105" s="25">
        <f>B106+B107</f>
        <v>47930800</v>
      </c>
      <c r="C105" s="25">
        <f>C106+C107</f>
        <v>59584796</v>
      </c>
      <c r="D105" s="25">
        <f t="shared" ref="D105:E105" si="35">D106+D107</f>
        <v>26237994</v>
      </c>
      <c r="E105" s="25">
        <f t="shared" si="35"/>
        <v>23218924.879999999</v>
      </c>
      <c r="F105" s="25">
        <f t="shared" si="25"/>
        <v>-3019069.120000001</v>
      </c>
      <c r="G105" s="31">
        <f t="shared" si="26"/>
        <v>88.49352157028467</v>
      </c>
      <c r="H105" s="31">
        <f t="shared" si="27"/>
        <v>38.967868380383472</v>
      </c>
    </row>
    <row r="106" spans="1:8" x14ac:dyDescent="0.25">
      <c r="A106" s="4" t="s">
        <v>18</v>
      </c>
      <c r="B106" s="26">
        <v>24298500</v>
      </c>
      <c r="C106" s="26">
        <v>31554881</v>
      </c>
      <c r="D106" s="26">
        <f>7856850+4371008</f>
        <v>12227858</v>
      </c>
      <c r="E106" s="26">
        <f>7426539.75+4371007.04</f>
        <v>11797546.789999999</v>
      </c>
      <c r="F106" s="26">
        <f t="shared" si="25"/>
        <v>-430311.21000000089</v>
      </c>
      <c r="G106" s="30">
        <f t="shared" si="26"/>
        <v>96.48089460966915</v>
      </c>
      <c r="H106" s="30">
        <f t="shared" si="27"/>
        <v>37.387391161449791</v>
      </c>
    </row>
    <row r="107" spans="1:8" x14ac:dyDescent="0.25">
      <c r="A107" s="2" t="s">
        <v>27</v>
      </c>
      <c r="B107" s="26">
        <v>23632300</v>
      </c>
      <c r="C107" s="26">
        <v>28029915</v>
      </c>
      <c r="D107" s="26">
        <v>14010136</v>
      </c>
      <c r="E107" s="26">
        <v>11421378.09</v>
      </c>
      <c r="F107" s="26">
        <f t="shared" si="25"/>
        <v>-2588757.91</v>
      </c>
      <c r="G107" s="30">
        <f t="shared" si="26"/>
        <v>81.522249962455746</v>
      </c>
      <c r="H107" s="30">
        <f t="shared" si="27"/>
        <v>40.747102122856951</v>
      </c>
    </row>
    <row r="108" spans="1:8" s="3" customFormat="1" ht="28.5" customHeight="1" x14ac:dyDescent="0.25">
      <c r="A108" s="21" t="s">
        <v>35</v>
      </c>
      <c r="B108" s="24">
        <f>B109+B111+B114</f>
        <v>516682100</v>
      </c>
      <c r="C108" s="24">
        <f>C109+C111+C114</f>
        <v>620516860</v>
      </c>
      <c r="D108" s="24">
        <f t="shared" ref="D108:E108" si="36">D109+D111+D114</f>
        <v>245331176</v>
      </c>
      <c r="E108" s="24">
        <f t="shared" si="36"/>
        <v>226844312.27000001</v>
      </c>
      <c r="F108" s="24">
        <f t="shared" si="25"/>
        <v>-18486863.729999989</v>
      </c>
      <c r="G108" s="29">
        <f t="shared" si="26"/>
        <v>92.464527325300068</v>
      </c>
      <c r="H108" s="29">
        <f t="shared" si="27"/>
        <v>36.557316471626571</v>
      </c>
    </row>
    <row r="109" spans="1:8" s="15" customFormat="1" x14ac:dyDescent="0.25">
      <c r="A109" s="14" t="s">
        <v>10</v>
      </c>
      <c r="B109" s="25">
        <f t="shared" ref="B109:D109" si="37">B110</f>
        <v>280299200</v>
      </c>
      <c r="C109" s="25">
        <f t="shared" si="37"/>
        <v>297978373</v>
      </c>
      <c r="D109" s="25">
        <f t="shared" si="37"/>
        <v>121653894</v>
      </c>
      <c r="E109" s="25">
        <f>E110</f>
        <v>120441269.06</v>
      </c>
      <c r="F109" s="25">
        <f t="shared" si="25"/>
        <v>-1212624.9399999976</v>
      </c>
      <c r="G109" s="31">
        <f t="shared" si="26"/>
        <v>99.003217324058696</v>
      </c>
      <c r="H109" s="31">
        <f t="shared" si="27"/>
        <v>40.419466636929386</v>
      </c>
    </row>
    <row r="110" spans="1:8" ht="17.25" customHeight="1" x14ac:dyDescent="0.25">
      <c r="A110" s="2" t="s">
        <v>3</v>
      </c>
      <c r="B110" s="26">
        <v>280299200</v>
      </c>
      <c r="C110" s="26">
        <v>297978373</v>
      </c>
      <c r="D110" s="26">
        <v>121653894</v>
      </c>
      <c r="E110" s="26">
        <v>120441269.06</v>
      </c>
      <c r="F110" s="26">
        <f t="shared" si="25"/>
        <v>-1212624.9399999976</v>
      </c>
      <c r="G110" s="30">
        <f t="shared" si="26"/>
        <v>99.003217324058696</v>
      </c>
      <c r="H110" s="30">
        <f t="shared" si="27"/>
        <v>40.419466636929386</v>
      </c>
    </row>
    <row r="111" spans="1:8" s="15" customFormat="1" x14ac:dyDescent="0.25">
      <c r="A111" s="14" t="s">
        <v>11</v>
      </c>
      <c r="B111" s="25">
        <f t="shared" ref="B111:D111" si="38">SUM(B112:B113)</f>
        <v>234382300</v>
      </c>
      <c r="C111" s="25">
        <f t="shared" ref="C111" si="39">SUM(C112:C113)</f>
        <v>303982279</v>
      </c>
      <c r="D111" s="25">
        <f t="shared" si="38"/>
        <v>118048207</v>
      </c>
      <c r="E111" s="25">
        <f>SUM(E112:E113)</f>
        <v>103673218.72</v>
      </c>
      <c r="F111" s="25">
        <f t="shared" si="25"/>
        <v>-14374988.280000001</v>
      </c>
      <c r="G111" s="31">
        <f t="shared" si="26"/>
        <v>87.822781348978893</v>
      </c>
      <c r="H111" s="31">
        <f t="shared" si="27"/>
        <v>34.105020549569602</v>
      </c>
    </row>
    <row r="112" spans="1:8" ht="25.5" x14ac:dyDescent="0.25">
      <c r="A112" s="2" t="s">
        <v>25</v>
      </c>
      <c r="B112" s="26">
        <v>0</v>
      </c>
      <c r="C112" s="26">
        <v>5757935</v>
      </c>
      <c r="D112" s="26">
        <v>5730307</v>
      </c>
      <c r="E112" s="26">
        <v>0</v>
      </c>
      <c r="F112" s="26">
        <f t="shared" si="25"/>
        <v>-5730307</v>
      </c>
      <c r="G112" s="30">
        <f t="shared" si="26"/>
        <v>0</v>
      </c>
      <c r="H112" s="30">
        <f t="shared" si="27"/>
        <v>0</v>
      </c>
    </row>
    <row r="113" spans="1:8" ht="14.25" customHeight="1" x14ac:dyDescent="0.25">
      <c r="A113" s="2" t="s">
        <v>3</v>
      </c>
      <c r="B113" s="26">
        <v>234382300</v>
      </c>
      <c r="C113" s="26">
        <v>298224344</v>
      </c>
      <c r="D113" s="26">
        <v>112317900</v>
      </c>
      <c r="E113" s="26">
        <v>103673218.72</v>
      </c>
      <c r="F113" s="26">
        <f t="shared" si="25"/>
        <v>-8644681.2800000012</v>
      </c>
      <c r="G113" s="30">
        <f t="shared" si="26"/>
        <v>92.303380600954966</v>
      </c>
      <c r="H113" s="30">
        <f t="shared" si="27"/>
        <v>34.763499628990715</v>
      </c>
    </row>
    <row r="114" spans="1:8" s="15" customFormat="1" ht="14.25" customHeight="1" x14ac:dyDescent="0.25">
      <c r="A114" s="14" t="s">
        <v>54</v>
      </c>
      <c r="B114" s="25">
        <f>B116</f>
        <v>2000600</v>
      </c>
      <c r="C114" s="25">
        <f>SUM(C115:C116)</f>
        <v>18556208</v>
      </c>
      <c r="D114" s="25">
        <f t="shared" ref="D114:E114" si="40">D116</f>
        <v>5629075</v>
      </c>
      <c r="E114" s="25">
        <f t="shared" si="40"/>
        <v>2729824.49</v>
      </c>
      <c r="F114" s="25">
        <f t="shared" si="25"/>
        <v>-2899250.51</v>
      </c>
      <c r="G114" s="31">
        <f t="shared" si="26"/>
        <v>48.495081163423833</v>
      </c>
      <c r="H114" s="31">
        <f t="shared" si="27"/>
        <v>14.711111720670516</v>
      </c>
    </row>
    <row r="115" spans="1:8" ht="26.25" customHeight="1" x14ac:dyDescent="0.25">
      <c r="A115" s="2" t="s">
        <v>25</v>
      </c>
      <c r="B115" s="26"/>
      <c r="C115" s="26">
        <v>1420038</v>
      </c>
      <c r="D115" s="26">
        <v>0</v>
      </c>
      <c r="E115" s="26">
        <v>0</v>
      </c>
      <c r="F115" s="26">
        <f t="shared" si="25"/>
        <v>0</v>
      </c>
      <c r="G115" s="30">
        <v>0</v>
      </c>
      <c r="H115" s="30">
        <f t="shared" si="27"/>
        <v>0</v>
      </c>
    </row>
    <row r="116" spans="1:8" ht="14.25" customHeight="1" x14ac:dyDescent="0.25">
      <c r="A116" s="2" t="s">
        <v>3</v>
      </c>
      <c r="B116" s="26">
        <v>2000600</v>
      </c>
      <c r="C116" s="26">
        <v>17136170</v>
      </c>
      <c r="D116" s="26">
        <v>5629075</v>
      </c>
      <c r="E116" s="26">
        <v>2729824.49</v>
      </c>
      <c r="F116" s="26">
        <f t="shared" si="25"/>
        <v>-2899250.51</v>
      </c>
      <c r="G116" s="30">
        <f t="shared" si="26"/>
        <v>48.495081163423833</v>
      </c>
      <c r="H116" s="30">
        <f t="shared" si="27"/>
        <v>15.930190293396951</v>
      </c>
    </row>
    <row r="117" spans="1:8" s="3" customFormat="1" ht="27.75" customHeight="1" x14ac:dyDescent="0.25">
      <c r="A117" s="22" t="s">
        <v>36</v>
      </c>
      <c r="B117" s="24">
        <f>B118+B120</f>
        <v>85062400</v>
      </c>
      <c r="C117" s="24">
        <f>C118+C120</f>
        <v>86723479</v>
      </c>
      <c r="D117" s="24">
        <f t="shared" ref="D117:E117" si="41">D118+D120</f>
        <v>49557423</v>
      </c>
      <c r="E117" s="24">
        <f t="shared" si="41"/>
        <v>33255170.5</v>
      </c>
      <c r="F117" s="24">
        <f t="shared" si="25"/>
        <v>-16302252.5</v>
      </c>
      <c r="G117" s="29">
        <f t="shared" si="26"/>
        <v>67.104317550975153</v>
      </c>
      <c r="H117" s="29">
        <f t="shared" si="27"/>
        <v>38.346213601509227</v>
      </c>
    </row>
    <row r="118" spans="1:8" s="15" customFormat="1" x14ac:dyDescent="0.25">
      <c r="A118" s="16" t="s">
        <v>5</v>
      </c>
      <c r="B118" s="25">
        <f t="shared" ref="B118:D118" si="42">B119</f>
        <v>69623000</v>
      </c>
      <c r="C118" s="25">
        <f t="shared" si="42"/>
        <v>71284079</v>
      </c>
      <c r="D118" s="25">
        <f t="shared" si="42"/>
        <v>35697310</v>
      </c>
      <c r="E118" s="25">
        <f>E119</f>
        <v>32582253</v>
      </c>
      <c r="F118" s="25">
        <f t="shared" si="25"/>
        <v>-3115057</v>
      </c>
      <c r="G118" s="31">
        <f t="shared" si="26"/>
        <v>91.27369261157213</v>
      </c>
      <c r="H118" s="31">
        <f t="shared" si="27"/>
        <v>45.707615861881308</v>
      </c>
    </row>
    <row r="119" spans="1:8" x14ac:dyDescent="0.25">
      <c r="A119" s="4" t="s">
        <v>6</v>
      </c>
      <c r="B119" s="26">
        <v>69623000</v>
      </c>
      <c r="C119" s="26">
        <v>71284079</v>
      </c>
      <c r="D119" s="26">
        <v>35697310</v>
      </c>
      <c r="E119" s="26">
        <v>32582253</v>
      </c>
      <c r="F119" s="26">
        <f t="shared" si="25"/>
        <v>-3115057</v>
      </c>
      <c r="G119" s="30">
        <f t="shared" si="26"/>
        <v>91.27369261157213</v>
      </c>
      <c r="H119" s="30">
        <f t="shared" si="27"/>
        <v>45.707615861881308</v>
      </c>
    </row>
    <row r="120" spans="1:8" s="15" customFormat="1" x14ac:dyDescent="0.25">
      <c r="A120" s="16" t="s">
        <v>63</v>
      </c>
      <c r="B120" s="25">
        <f>B121</f>
        <v>15439400</v>
      </c>
      <c r="C120" s="25">
        <f>C121</f>
        <v>15439400</v>
      </c>
      <c r="D120" s="25">
        <f t="shared" ref="D120:E120" si="43">D121</f>
        <v>13860113</v>
      </c>
      <c r="E120" s="25">
        <f t="shared" si="43"/>
        <v>672917.5</v>
      </c>
      <c r="F120" s="25">
        <f t="shared" si="25"/>
        <v>-13187195.5</v>
      </c>
      <c r="G120" s="31">
        <f t="shared" si="26"/>
        <v>4.8550650344625623</v>
      </c>
      <c r="H120" s="31">
        <f t="shared" si="27"/>
        <v>4.358443333290154</v>
      </c>
    </row>
    <row r="121" spans="1:8" x14ac:dyDescent="0.25">
      <c r="A121" s="4" t="s">
        <v>6</v>
      </c>
      <c r="B121" s="26">
        <v>15439400</v>
      </c>
      <c r="C121" s="26">
        <v>15439400</v>
      </c>
      <c r="D121" s="26">
        <v>13860113</v>
      </c>
      <c r="E121" s="26">
        <v>672917.5</v>
      </c>
      <c r="F121" s="26">
        <f t="shared" si="25"/>
        <v>-13187195.5</v>
      </c>
      <c r="G121" s="30">
        <f t="shared" si="26"/>
        <v>4.8550650344625623</v>
      </c>
      <c r="H121" s="30">
        <f t="shared" si="27"/>
        <v>4.358443333290154</v>
      </c>
    </row>
    <row r="122" spans="1:8" s="3" customFormat="1" ht="28.5" customHeight="1" x14ac:dyDescent="0.25">
      <c r="A122" s="22" t="s">
        <v>37</v>
      </c>
      <c r="B122" s="24">
        <f>SUM(B123:B124)</f>
        <v>53309000</v>
      </c>
      <c r="C122" s="24">
        <f>SUM(C123:C125)</f>
        <v>76139252</v>
      </c>
      <c r="D122" s="24">
        <f t="shared" ref="D122:E122" si="44">SUM(D123:D125)</f>
        <v>32830310</v>
      </c>
      <c r="E122" s="24">
        <f t="shared" si="44"/>
        <v>29352973.32</v>
      </c>
      <c r="F122" s="24">
        <f t="shared" si="25"/>
        <v>-3477336.6799999997</v>
      </c>
      <c r="G122" s="29">
        <f t="shared" si="26"/>
        <v>89.408151552635346</v>
      </c>
      <c r="H122" s="29">
        <f t="shared" si="27"/>
        <v>38.55169646268655</v>
      </c>
    </row>
    <row r="123" spans="1:8" x14ac:dyDescent="0.25">
      <c r="A123" s="2" t="s">
        <v>27</v>
      </c>
      <c r="B123" s="26">
        <v>53309000</v>
      </c>
      <c r="C123" s="26">
        <v>68839918</v>
      </c>
      <c r="D123" s="26">
        <f>3444872+25164058</f>
        <v>28608930</v>
      </c>
      <c r="E123" s="26">
        <f>2386542.95+24132336.39</f>
        <v>26518879.34</v>
      </c>
      <c r="F123" s="26">
        <f t="shared" si="25"/>
        <v>-2090050.6600000001</v>
      </c>
      <c r="G123" s="30">
        <f t="shared" si="26"/>
        <v>92.694411640001917</v>
      </c>
      <c r="H123" s="30">
        <f t="shared" si="27"/>
        <v>38.522531854265132</v>
      </c>
    </row>
    <row r="124" spans="1:8" ht="25.5" x14ac:dyDescent="0.25">
      <c r="A124" s="2" t="s">
        <v>25</v>
      </c>
      <c r="B124" s="26">
        <v>0</v>
      </c>
      <c r="C124" s="26">
        <v>7201695</v>
      </c>
      <c r="D124" s="26">
        <v>4123741</v>
      </c>
      <c r="E124" s="26">
        <v>2736454.98</v>
      </c>
      <c r="F124" s="26">
        <f t="shared" si="25"/>
        <v>-1387286.02</v>
      </c>
      <c r="G124" s="30">
        <f t="shared" si="26"/>
        <v>66.358555981086113</v>
      </c>
      <c r="H124" s="30">
        <f t="shared" si="27"/>
        <v>37.997373951548909</v>
      </c>
    </row>
    <row r="125" spans="1:8" ht="25.5" x14ac:dyDescent="0.25">
      <c r="A125" s="2" t="s">
        <v>3</v>
      </c>
      <c r="B125" s="26"/>
      <c r="C125" s="26">
        <v>97639</v>
      </c>
      <c r="D125" s="26">
        <v>97639</v>
      </c>
      <c r="E125" s="26">
        <v>97639</v>
      </c>
      <c r="F125" s="26">
        <f t="shared" si="25"/>
        <v>0</v>
      </c>
      <c r="G125" s="30">
        <f t="shared" si="26"/>
        <v>100</v>
      </c>
      <c r="H125" s="30">
        <f t="shared" si="27"/>
        <v>100</v>
      </c>
    </row>
    <row r="126" spans="1:8" s="3" customFormat="1" ht="41.25" customHeight="1" x14ac:dyDescent="0.25">
      <c r="A126" s="22" t="s">
        <v>38</v>
      </c>
      <c r="B126" s="28">
        <f>B127+B131</f>
        <v>660100</v>
      </c>
      <c r="C126" s="24">
        <f>C127+C131</f>
        <v>660100</v>
      </c>
      <c r="D126" s="24">
        <f t="shared" ref="D126:E126" si="45">D127+D131</f>
        <v>371250</v>
      </c>
      <c r="E126" s="24">
        <f t="shared" si="45"/>
        <v>347404</v>
      </c>
      <c r="F126" s="24">
        <f t="shared" si="25"/>
        <v>-23846</v>
      </c>
      <c r="G126" s="29">
        <f t="shared" si="26"/>
        <v>93.57683501683502</v>
      </c>
      <c r="H126" s="29">
        <f t="shared" si="27"/>
        <v>52.628995606726257</v>
      </c>
    </row>
    <row r="127" spans="1:8" s="15" customFormat="1" ht="69" customHeight="1" x14ac:dyDescent="0.25">
      <c r="A127" s="16" t="s">
        <v>67</v>
      </c>
      <c r="B127" s="25">
        <f>SUM(B128:B130)</f>
        <v>260150</v>
      </c>
      <c r="C127" s="25">
        <f>SUM(C128:C130)</f>
        <v>260150</v>
      </c>
      <c r="D127" s="25">
        <f>SUM(D128:D130)</f>
        <v>171250</v>
      </c>
      <c r="E127" s="25">
        <f>SUM(E128:E130)</f>
        <v>170494</v>
      </c>
      <c r="F127" s="25">
        <f t="shared" si="25"/>
        <v>-756</v>
      </c>
      <c r="G127" s="31">
        <f t="shared" si="26"/>
        <v>99.558540145985404</v>
      </c>
      <c r="H127" s="31">
        <f t="shared" si="27"/>
        <v>65.536805689025556</v>
      </c>
    </row>
    <row r="128" spans="1:8" x14ac:dyDescent="0.25">
      <c r="A128" s="4" t="s">
        <v>18</v>
      </c>
      <c r="B128" s="26">
        <v>104500</v>
      </c>
      <c r="C128" s="26">
        <v>104500</v>
      </c>
      <c r="D128" s="26">
        <v>104500</v>
      </c>
      <c r="E128" s="26">
        <v>104494</v>
      </c>
      <c r="F128" s="26">
        <f t="shared" si="25"/>
        <v>-6</v>
      </c>
      <c r="G128" s="30">
        <f t="shared" si="26"/>
        <v>99.994258373205753</v>
      </c>
      <c r="H128" s="30">
        <f t="shared" si="27"/>
        <v>99.994258373205753</v>
      </c>
    </row>
    <row r="129" spans="1:8" ht="15.75" customHeight="1" x14ac:dyDescent="0.25">
      <c r="A129" s="4" t="s">
        <v>23</v>
      </c>
      <c r="B129" s="26">
        <v>66750</v>
      </c>
      <c r="C129" s="26">
        <v>66750</v>
      </c>
      <c r="D129" s="26">
        <f>26700+40050</f>
        <v>66750</v>
      </c>
      <c r="E129" s="26">
        <f>26400+39600</f>
        <v>66000</v>
      </c>
      <c r="F129" s="26">
        <f t="shared" si="25"/>
        <v>-750</v>
      </c>
      <c r="G129" s="30">
        <f t="shared" si="26"/>
        <v>98.876404494382015</v>
      </c>
      <c r="H129" s="30">
        <f t="shared" si="27"/>
        <v>98.876404494382015</v>
      </c>
    </row>
    <row r="130" spans="1:8" x14ac:dyDescent="0.25">
      <c r="A130" s="11" t="s">
        <v>26</v>
      </c>
      <c r="B130" s="26">
        <v>88900</v>
      </c>
      <c r="C130" s="26">
        <v>88900</v>
      </c>
      <c r="D130" s="26">
        <v>0</v>
      </c>
      <c r="E130" s="26">
        <v>0</v>
      </c>
      <c r="F130" s="26">
        <f t="shared" si="25"/>
        <v>0</v>
      </c>
      <c r="G130" s="30">
        <v>0</v>
      </c>
      <c r="H130" s="30">
        <f t="shared" si="27"/>
        <v>0</v>
      </c>
    </row>
    <row r="131" spans="1:8" s="15" customFormat="1" ht="27" x14ac:dyDescent="0.25">
      <c r="A131" s="27" t="s">
        <v>55</v>
      </c>
      <c r="B131" s="25">
        <f>B132</f>
        <v>399950</v>
      </c>
      <c r="C131" s="25">
        <f>C132</f>
        <v>399950</v>
      </c>
      <c r="D131" s="25">
        <f t="shared" ref="D131:E131" si="46">D132</f>
        <v>200000</v>
      </c>
      <c r="E131" s="25">
        <f t="shared" si="46"/>
        <v>176910</v>
      </c>
      <c r="F131" s="25">
        <f t="shared" si="25"/>
        <v>-23090</v>
      </c>
      <c r="G131" s="31">
        <f t="shared" si="26"/>
        <v>88.454999999999998</v>
      </c>
      <c r="H131" s="31">
        <f t="shared" si="27"/>
        <v>44.233029128641085</v>
      </c>
    </row>
    <row r="132" spans="1:8" ht="25.5" x14ac:dyDescent="0.25">
      <c r="A132" s="4" t="s">
        <v>23</v>
      </c>
      <c r="B132" s="26">
        <v>399950</v>
      </c>
      <c r="C132" s="26">
        <v>399950</v>
      </c>
      <c r="D132" s="26">
        <v>200000</v>
      </c>
      <c r="E132" s="26">
        <v>176910</v>
      </c>
      <c r="F132" s="26">
        <f t="shared" si="25"/>
        <v>-23090</v>
      </c>
      <c r="G132" s="30">
        <f t="shared" si="26"/>
        <v>88.454999999999998</v>
      </c>
      <c r="H132" s="30">
        <f t="shared" si="27"/>
        <v>44.233029128641085</v>
      </c>
    </row>
    <row r="133" spans="1:8" s="3" customFormat="1" x14ac:dyDescent="0.25">
      <c r="A133" s="23" t="s">
        <v>64</v>
      </c>
      <c r="B133" s="24">
        <f>SUM(B134:B136)</f>
        <v>1597000</v>
      </c>
      <c r="C133" s="24">
        <f>SUM(C134:C138)</f>
        <v>5850557</v>
      </c>
      <c r="D133" s="24">
        <f t="shared" ref="D133:E133" si="47">SUM(D134:D138)</f>
        <v>4187415</v>
      </c>
      <c r="E133" s="24">
        <f t="shared" si="47"/>
        <v>3394431</v>
      </c>
      <c r="F133" s="24">
        <f t="shared" si="25"/>
        <v>-792984</v>
      </c>
      <c r="G133" s="29">
        <f t="shared" si="26"/>
        <v>81.062684257471489</v>
      </c>
      <c r="H133" s="29">
        <f t="shared" si="27"/>
        <v>58.018937342205191</v>
      </c>
    </row>
    <row r="134" spans="1:8" ht="25.5" x14ac:dyDescent="0.25">
      <c r="A134" s="4" t="s">
        <v>23</v>
      </c>
      <c r="B134" s="26">
        <v>500000</v>
      </c>
      <c r="C134" s="26">
        <v>3877479</v>
      </c>
      <c r="D134" s="26">
        <f>2486871+20000</f>
        <v>2506871</v>
      </c>
      <c r="E134" s="26">
        <f>2486871+16000</f>
        <v>2502871</v>
      </c>
      <c r="F134" s="26">
        <f t="shared" si="25"/>
        <v>-4000</v>
      </c>
      <c r="G134" s="30">
        <f t="shared" si="26"/>
        <v>99.840438538720178</v>
      </c>
      <c r="H134" s="30">
        <f t="shared" si="27"/>
        <v>64.548924700817196</v>
      </c>
    </row>
    <row r="135" spans="1:8" x14ac:dyDescent="0.25">
      <c r="A135" s="11" t="s">
        <v>26</v>
      </c>
      <c r="B135" s="26">
        <v>597000</v>
      </c>
      <c r="C135" s="26">
        <v>1195500</v>
      </c>
      <c r="D135" s="26">
        <f>983000+29300</f>
        <v>1012300</v>
      </c>
      <c r="E135" s="26">
        <f>384500+19060</f>
        <v>403560</v>
      </c>
      <c r="F135" s="26">
        <f t="shared" ref="F135:F142" si="48">E135-D135</f>
        <v>-608740</v>
      </c>
      <c r="G135" s="30">
        <f t="shared" si="26"/>
        <v>39.865652474562879</v>
      </c>
      <c r="H135" s="30">
        <f t="shared" si="27"/>
        <v>33.756587202007523</v>
      </c>
    </row>
    <row r="136" spans="1:8" x14ac:dyDescent="0.25">
      <c r="A136" s="2" t="s">
        <v>4</v>
      </c>
      <c r="B136" s="26">
        <v>500000</v>
      </c>
      <c r="C136" s="26">
        <v>500000</v>
      </c>
      <c r="D136" s="26">
        <v>490000</v>
      </c>
      <c r="E136" s="26">
        <v>488000</v>
      </c>
      <c r="F136" s="26">
        <f t="shared" si="48"/>
        <v>-2000</v>
      </c>
      <c r="G136" s="30">
        <f t="shared" ref="G136:G142" si="49">(E136/D136)*100</f>
        <v>99.591836734693871</v>
      </c>
      <c r="H136" s="30">
        <f t="shared" ref="H136:H142" si="50">(E136/C136)*100</f>
        <v>97.6</v>
      </c>
    </row>
    <row r="137" spans="1:8" ht="25.5" x14ac:dyDescent="0.25">
      <c r="A137" s="2" t="s">
        <v>25</v>
      </c>
      <c r="B137" s="26">
        <v>0</v>
      </c>
      <c r="C137" s="26">
        <v>178244</v>
      </c>
      <c r="D137" s="26">
        <v>178244</v>
      </c>
      <c r="E137" s="26">
        <v>0</v>
      </c>
      <c r="F137" s="26">
        <f t="shared" si="48"/>
        <v>-178244</v>
      </c>
      <c r="G137" s="30">
        <f t="shared" si="49"/>
        <v>0</v>
      </c>
      <c r="H137" s="30">
        <f t="shared" si="50"/>
        <v>0</v>
      </c>
    </row>
    <row r="138" spans="1:8" ht="25.5" x14ac:dyDescent="0.25">
      <c r="A138" s="2" t="s">
        <v>3</v>
      </c>
      <c r="B138" s="26">
        <v>0</v>
      </c>
      <c r="C138" s="26">
        <v>99334</v>
      </c>
      <c r="D138" s="26">
        <v>0</v>
      </c>
      <c r="E138" s="26">
        <v>0</v>
      </c>
      <c r="F138" s="26">
        <f t="shared" si="48"/>
        <v>0</v>
      </c>
      <c r="G138" s="30">
        <v>0</v>
      </c>
      <c r="H138" s="30">
        <f t="shared" si="50"/>
        <v>0</v>
      </c>
    </row>
    <row r="139" spans="1:8" s="3" customFormat="1" ht="39" customHeight="1" x14ac:dyDescent="0.25">
      <c r="A139" s="21" t="s">
        <v>39</v>
      </c>
      <c r="B139" s="24">
        <f>SUM(B140:B141)</f>
        <v>4414200</v>
      </c>
      <c r="C139" s="24">
        <f t="shared" ref="C139" si="51">SUM(C140:C141)</f>
        <v>4414200</v>
      </c>
      <c r="D139" s="24">
        <f t="shared" ref="B139:D139" si="52">SUM(D140:D141)</f>
        <v>3719750</v>
      </c>
      <c r="E139" s="24">
        <f>SUM(E140:E141)</f>
        <v>769750</v>
      </c>
      <c r="F139" s="24">
        <f t="shared" si="48"/>
        <v>-2950000</v>
      </c>
      <c r="G139" s="29">
        <f t="shared" si="49"/>
        <v>20.693594999663954</v>
      </c>
      <c r="H139" s="29">
        <f t="shared" si="50"/>
        <v>17.438040868107471</v>
      </c>
    </row>
    <row r="140" spans="1:8" x14ac:dyDescent="0.25">
      <c r="A140" s="2" t="s">
        <v>18</v>
      </c>
      <c r="B140" s="26">
        <v>2950000</v>
      </c>
      <c r="C140" s="26">
        <v>2950000</v>
      </c>
      <c r="D140" s="26">
        <v>2950000</v>
      </c>
      <c r="E140" s="26">
        <v>0</v>
      </c>
      <c r="F140" s="26">
        <f t="shared" si="48"/>
        <v>-2950000</v>
      </c>
      <c r="G140" s="30">
        <f t="shared" si="49"/>
        <v>0</v>
      </c>
      <c r="H140" s="30">
        <f t="shared" si="50"/>
        <v>0</v>
      </c>
    </row>
    <row r="141" spans="1:8" ht="28.5" customHeight="1" x14ac:dyDescent="0.25">
      <c r="A141" s="2" t="s">
        <v>23</v>
      </c>
      <c r="B141" s="26">
        <v>1464200</v>
      </c>
      <c r="C141" s="26">
        <v>1464200</v>
      </c>
      <c r="D141" s="26">
        <v>769750</v>
      </c>
      <c r="E141" s="26">
        <v>769750</v>
      </c>
      <c r="F141" s="26">
        <f t="shared" si="48"/>
        <v>0</v>
      </c>
      <c r="G141" s="30">
        <f t="shared" si="49"/>
        <v>100</v>
      </c>
      <c r="H141" s="30">
        <f t="shared" si="50"/>
        <v>52.571370031416478</v>
      </c>
    </row>
    <row r="142" spans="1:8" s="18" customFormat="1" ht="12.75" x14ac:dyDescent="0.2">
      <c r="A142" s="17" t="s">
        <v>16</v>
      </c>
      <c r="B142" s="24">
        <f>B5+B27+B30+B36+B45+B57+B78+B84+B97+B108+B117+B122+B126+B139+B21+B133</f>
        <v>10850315528</v>
      </c>
      <c r="C142" s="24">
        <f>C5+C27+C30+C36+C45+C57+C78+C84+C97+C108+C117+C122+C126+C139+C21+C133</f>
        <v>11965594054.58</v>
      </c>
      <c r="D142" s="24">
        <f t="shared" ref="D142:E142" si="53">D5+D27+D30+D36+D45+D57+D78+D84+D97+D108+D117+D122+D126+D139+D21+D133</f>
        <v>4707776417.75</v>
      </c>
      <c r="E142" s="24">
        <f t="shared" si="53"/>
        <v>3854558370.170001</v>
      </c>
      <c r="F142" s="24">
        <f t="shared" si="48"/>
        <v>-853218047.57999897</v>
      </c>
      <c r="G142" s="29">
        <f t="shared" si="49"/>
        <v>81.87641102999153</v>
      </c>
      <c r="H142" s="29">
        <f t="shared" si="50"/>
        <v>32.213681598989346</v>
      </c>
    </row>
    <row r="144" spans="1:8" x14ac:dyDescent="0.25">
      <c r="E144" s="12"/>
      <c r="G144" s="12"/>
      <c r="H144" s="12"/>
    </row>
    <row r="145" spans="3:7" x14ac:dyDescent="0.25">
      <c r="C145" s="13"/>
    </row>
    <row r="146" spans="3:7" x14ac:dyDescent="0.25">
      <c r="G146" s="12"/>
    </row>
  </sheetData>
  <autoFilter ref="A4:H142"/>
  <mergeCells count="1">
    <mergeCell ref="A1:G1"/>
  </mergeCells>
  <pageMargins left="0.51181102362204722" right="0.51181102362204722" top="0.74803149606299213" bottom="0.39370078740157483" header="0.31496062992125984" footer="0.31496062992125984"/>
  <pageSetup paperSize="9" scale="75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программы</vt:lpstr>
      <vt:lpstr>Лист2</vt:lpstr>
      <vt:lpstr>Лист3</vt:lpstr>
      <vt:lpstr>программы!Заголовки_для_печати</vt:lpstr>
      <vt:lpstr>программы!Область_печати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2021-08-03T09:05:18Z</cp:lastPrinted>
  <dcterms:created xsi:type="dcterms:W3CDTF">2014-05-23T06:49:41Z</dcterms:created>
  <dcterms:modified xsi:type="dcterms:W3CDTF">2021-08-03T09:05:48Z</dcterms:modified>
</cp:coreProperties>
</file>