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ёт за 2020 год\приложение 2020 год\"/>
    </mc:Choice>
  </mc:AlternateContent>
  <bookViews>
    <workbookView xWindow="9585" yWindow="465" windowWidth="9720" windowHeight="1194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доходы!$A$8:$W$96</definedName>
    <definedName name="_xlnm.Print_Titles" localSheetId="0">доходы!$6:$8</definedName>
    <definedName name="_xlnm.Print_Area" localSheetId="0">доходы!$A$1:$S$94</definedName>
  </definedNames>
  <calcPr calcId="152511"/>
</workbook>
</file>

<file path=xl/calcChain.xml><?xml version="1.0" encoding="utf-8"?>
<calcChain xmlns="http://schemas.openxmlformats.org/spreadsheetml/2006/main">
  <c r="Q27" i="5" l="1"/>
  <c r="O18" i="5"/>
  <c r="J101" i="5" l="1"/>
  <c r="K101" i="5" s="1"/>
  <c r="J100" i="5"/>
  <c r="J99" i="5"/>
  <c r="K99" i="5" s="1"/>
  <c r="K100" i="5"/>
  <c r="K102" i="5"/>
  <c r="L85" i="5"/>
  <c r="H24" i="5" l="1"/>
  <c r="T76" i="5"/>
  <c r="U76" i="5" s="1"/>
  <c r="T74" i="5"/>
  <c r="U74" i="5" s="1"/>
  <c r="T71" i="5"/>
  <c r="T69" i="5"/>
  <c r="T77" i="5"/>
  <c r="T80" i="5"/>
  <c r="T90" i="5"/>
  <c r="T79" i="5"/>
  <c r="T78" i="5"/>
  <c r="U78" i="5" s="1"/>
  <c r="T35" i="5"/>
  <c r="U35" i="5" s="1"/>
  <c r="T34" i="5"/>
  <c r="T38" i="5"/>
  <c r="T28" i="5"/>
  <c r="T64" i="5"/>
  <c r="T40" i="5" s="1"/>
  <c r="T92" i="5"/>
  <c r="T21" i="5"/>
  <c r="T20" i="5"/>
  <c r="T18" i="5"/>
  <c r="T15" i="5"/>
  <c r="T14" i="5"/>
  <c r="U14" i="5" s="1"/>
  <c r="T10" i="5"/>
  <c r="U10" i="5" s="1"/>
  <c r="T11" i="5"/>
  <c r="T12" i="5"/>
  <c r="U12" i="5" s="1"/>
  <c r="T36" i="5"/>
  <c r="T93" i="5"/>
  <c r="T89" i="5"/>
  <c r="T88" i="5"/>
  <c r="T87" i="5"/>
  <c r="U87" i="5" s="1"/>
  <c r="T86" i="5"/>
  <c r="T85" i="5"/>
  <c r="T31" i="5"/>
  <c r="U28" i="5"/>
  <c r="U15" i="5"/>
  <c r="U16" i="5"/>
  <c r="U17" i="5"/>
  <c r="U19" i="5"/>
  <c r="U20" i="5"/>
  <c r="U21" i="5"/>
  <c r="U23" i="5"/>
  <c r="U24" i="5"/>
  <c r="U27" i="5"/>
  <c r="U29" i="5"/>
  <c r="U30" i="5"/>
  <c r="U32" i="5"/>
  <c r="U34" i="5"/>
  <c r="U37" i="5"/>
  <c r="U39" i="5"/>
  <c r="U41" i="5"/>
  <c r="U42" i="5"/>
  <c r="U43" i="5"/>
  <c r="U44" i="5"/>
  <c r="U45" i="5"/>
  <c r="U46" i="5"/>
  <c r="U47" i="5"/>
  <c r="U48" i="5"/>
  <c r="U49" i="5"/>
  <c r="U50" i="5"/>
  <c r="U51" i="5"/>
  <c r="U52" i="5"/>
  <c r="U53" i="5"/>
  <c r="U54" i="5"/>
  <c r="U55" i="5"/>
  <c r="U56" i="5"/>
  <c r="U57" i="5"/>
  <c r="U58" i="5"/>
  <c r="U59" i="5"/>
  <c r="U60" i="5"/>
  <c r="U61" i="5"/>
  <c r="U62" i="5"/>
  <c r="U63" i="5"/>
  <c r="U65" i="5"/>
  <c r="U66" i="5"/>
  <c r="U67" i="5"/>
  <c r="U68" i="5"/>
  <c r="U69" i="5"/>
  <c r="U70" i="5"/>
  <c r="U71" i="5"/>
  <c r="U72" i="5"/>
  <c r="U73" i="5"/>
  <c r="U75" i="5"/>
  <c r="U77" i="5"/>
  <c r="U79" i="5"/>
  <c r="U80" i="5"/>
  <c r="U82" i="5"/>
  <c r="U83" i="5"/>
  <c r="U85" i="5"/>
  <c r="U86" i="5"/>
  <c r="U88" i="5"/>
  <c r="U89" i="5"/>
  <c r="U90" i="5"/>
  <c r="U91" i="5"/>
  <c r="U92" i="5"/>
  <c r="U93" i="5"/>
  <c r="T81" i="5"/>
  <c r="E91" i="5"/>
  <c r="E90" i="5"/>
  <c r="E49" i="5"/>
  <c r="E43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59" i="5"/>
  <c r="R83" i="5"/>
  <c r="S83" i="5"/>
  <c r="O81" i="5"/>
  <c r="Q10" i="5"/>
  <c r="R10" i="5"/>
  <c r="S10" i="5"/>
  <c r="Q12" i="5"/>
  <c r="R12" i="5"/>
  <c r="S12" i="5"/>
  <c r="Q14" i="5"/>
  <c r="R14" i="5"/>
  <c r="S14" i="5"/>
  <c r="Q15" i="5"/>
  <c r="R15" i="5"/>
  <c r="S15" i="5"/>
  <c r="Q16" i="5"/>
  <c r="R16" i="5"/>
  <c r="S16" i="5"/>
  <c r="Q17" i="5"/>
  <c r="R17" i="5"/>
  <c r="S17" i="5"/>
  <c r="Q19" i="5"/>
  <c r="R19" i="5"/>
  <c r="S19" i="5"/>
  <c r="Q20" i="5"/>
  <c r="R20" i="5"/>
  <c r="S20" i="5"/>
  <c r="Q21" i="5"/>
  <c r="R21" i="5"/>
  <c r="S21" i="5"/>
  <c r="Q23" i="5"/>
  <c r="R23" i="5"/>
  <c r="S23" i="5"/>
  <c r="Q24" i="5"/>
  <c r="R24" i="5"/>
  <c r="S24" i="5"/>
  <c r="R27" i="5"/>
  <c r="S27" i="5"/>
  <c r="Q28" i="5"/>
  <c r="R28" i="5"/>
  <c r="S28" i="5"/>
  <c r="Q29" i="5"/>
  <c r="R29" i="5"/>
  <c r="S29" i="5"/>
  <c r="Q30" i="5"/>
  <c r="R30" i="5"/>
  <c r="S30" i="5"/>
  <c r="Q32" i="5"/>
  <c r="R32" i="5"/>
  <c r="S32" i="5"/>
  <c r="Q34" i="5"/>
  <c r="R34" i="5"/>
  <c r="S34" i="5"/>
  <c r="Q35" i="5"/>
  <c r="R35" i="5"/>
  <c r="S35" i="5"/>
  <c r="Q37" i="5"/>
  <c r="R37" i="5"/>
  <c r="S37" i="5"/>
  <c r="Q38" i="5"/>
  <c r="R38" i="5"/>
  <c r="S38" i="5"/>
  <c r="Q39" i="5"/>
  <c r="R39" i="5"/>
  <c r="S39" i="5"/>
  <c r="R41" i="5"/>
  <c r="S41" i="5"/>
  <c r="R42" i="5"/>
  <c r="S42" i="5"/>
  <c r="R43" i="5"/>
  <c r="S43" i="5"/>
  <c r="R44" i="5"/>
  <c r="S44" i="5"/>
  <c r="R45" i="5"/>
  <c r="S45" i="5"/>
  <c r="R46" i="5"/>
  <c r="S46" i="5"/>
  <c r="R47" i="5"/>
  <c r="S47" i="5"/>
  <c r="R48" i="5"/>
  <c r="S48" i="5"/>
  <c r="R49" i="5"/>
  <c r="S49" i="5"/>
  <c r="R50" i="5"/>
  <c r="S50" i="5"/>
  <c r="R51" i="5"/>
  <c r="S51" i="5"/>
  <c r="R52" i="5"/>
  <c r="S52" i="5"/>
  <c r="R53" i="5"/>
  <c r="S53" i="5"/>
  <c r="R54" i="5"/>
  <c r="S54" i="5"/>
  <c r="R55" i="5"/>
  <c r="S55" i="5"/>
  <c r="R56" i="5"/>
  <c r="S56" i="5"/>
  <c r="R57" i="5"/>
  <c r="S57" i="5"/>
  <c r="R58" i="5"/>
  <c r="S58" i="5"/>
  <c r="Q59" i="5"/>
  <c r="R59" i="5"/>
  <c r="S59" i="5"/>
  <c r="Q60" i="5"/>
  <c r="R60" i="5"/>
  <c r="S60" i="5"/>
  <c r="Q61" i="5"/>
  <c r="R61" i="5"/>
  <c r="S61" i="5"/>
  <c r="Q62" i="5"/>
  <c r="R62" i="5"/>
  <c r="S62" i="5"/>
  <c r="Q63" i="5"/>
  <c r="R63" i="5"/>
  <c r="S63" i="5"/>
  <c r="Q64" i="5"/>
  <c r="R64" i="5"/>
  <c r="S64" i="5"/>
  <c r="Q65" i="5"/>
  <c r="R65" i="5"/>
  <c r="S65" i="5"/>
  <c r="Q66" i="5"/>
  <c r="R66" i="5"/>
  <c r="S66" i="5"/>
  <c r="Q67" i="5"/>
  <c r="R67" i="5"/>
  <c r="S67" i="5"/>
  <c r="Q68" i="5"/>
  <c r="R68" i="5"/>
  <c r="S68" i="5"/>
  <c r="Q69" i="5"/>
  <c r="R69" i="5"/>
  <c r="S69" i="5"/>
  <c r="Q70" i="5"/>
  <c r="R70" i="5"/>
  <c r="S70" i="5"/>
  <c r="Q71" i="5"/>
  <c r="R71" i="5"/>
  <c r="S71" i="5"/>
  <c r="Q72" i="5"/>
  <c r="R72" i="5"/>
  <c r="S72" i="5"/>
  <c r="Q73" i="5"/>
  <c r="R73" i="5"/>
  <c r="S73" i="5"/>
  <c r="Q74" i="5"/>
  <c r="R74" i="5"/>
  <c r="S74" i="5"/>
  <c r="Q75" i="5"/>
  <c r="R75" i="5"/>
  <c r="S75" i="5"/>
  <c r="Q76" i="5"/>
  <c r="R76" i="5"/>
  <c r="S76" i="5"/>
  <c r="Q77" i="5"/>
  <c r="R77" i="5"/>
  <c r="S77" i="5"/>
  <c r="Q78" i="5"/>
  <c r="R78" i="5"/>
  <c r="S78" i="5"/>
  <c r="Q79" i="5"/>
  <c r="R79" i="5"/>
  <c r="S79" i="5"/>
  <c r="Q80" i="5"/>
  <c r="R80" i="5"/>
  <c r="S80" i="5"/>
  <c r="R82" i="5"/>
  <c r="S82" i="5"/>
  <c r="Q85" i="5"/>
  <c r="R85" i="5"/>
  <c r="S85" i="5"/>
  <c r="Q86" i="5"/>
  <c r="R86" i="5"/>
  <c r="S86" i="5"/>
  <c r="Q87" i="5"/>
  <c r="R87" i="5"/>
  <c r="S87" i="5"/>
  <c r="Q88" i="5"/>
  <c r="R88" i="5"/>
  <c r="S88" i="5"/>
  <c r="Q89" i="5"/>
  <c r="R89" i="5"/>
  <c r="S89" i="5"/>
  <c r="Q90" i="5"/>
  <c r="R90" i="5"/>
  <c r="S90" i="5"/>
  <c r="Q91" i="5"/>
  <c r="R91" i="5"/>
  <c r="S91" i="5"/>
  <c r="Q92" i="5"/>
  <c r="R92" i="5"/>
  <c r="S92" i="5"/>
  <c r="Q93" i="5"/>
  <c r="R93" i="5"/>
  <c r="S93" i="5"/>
  <c r="L10" i="5"/>
  <c r="N10" i="5"/>
  <c r="L12" i="5"/>
  <c r="N12" i="5"/>
  <c r="L14" i="5"/>
  <c r="N14" i="5"/>
  <c r="L15" i="5"/>
  <c r="N15" i="5"/>
  <c r="L16" i="5"/>
  <c r="N16" i="5"/>
  <c r="L17" i="5"/>
  <c r="N17" i="5"/>
  <c r="L19" i="5"/>
  <c r="N19" i="5"/>
  <c r="L20" i="5"/>
  <c r="N20" i="5"/>
  <c r="L21" i="5"/>
  <c r="N21" i="5"/>
  <c r="L23" i="5"/>
  <c r="N23" i="5"/>
  <c r="L24" i="5"/>
  <c r="N24" i="5"/>
  <c r="L27" i="5"/>
  <c r="N27" i="5"/>
  <c r="L28" i="5"/>
  <c r="N28" i="5"/>
  <c r="L29" i="5"/>
  <c r="N29" i="5"/>
  <c r="L30" i="5"/>
  <c r="N30" i="5"/>
  <c r="L32" i="5"/>
  <c r="N32" i="5"/>
  <c r="L34" i="5"/>
  <c r="N34" i="5"/>
  <c r="L35" i="5"/>
  <c r="N35" i="5"/>
  <c r="L37" i="5"/>
  <c r="N37" i="5"/>
  <c r="L38" i="5"/>
  <c r="N38" i="5"/>
  <c r="L39" i="5"/>
  <c r="N39" i="5"/>
  <c r="L41" i="5"/>
  <c r="N41" i="5"/>
  <c r="L42" i="5"/>
  <c r="N42" i="5"/>
  <c r="L43" i="5"/>
  <c r="N43" i="5"/>
  <c r="L44" i="5"/>
  <c r="N44" i="5"/>
  <c r="L45" i="5"/>
  <c r="N45" i="5"/>
  <c r="L46" i="5"/>
  <c r="N46" i="5"/>
  <c r="L47" i="5"/>
  <c r="N47" i="5"/>
  <c r="L48" i="5"/>
  <c r="N48" i="5"/>
  <c r="L49" i="5"/>
  <c r="N49" i="5"/>
  <c r="L50" i="5"/>
  <c r="N50" i="5"/>
  <c r="L51" i="5"/>
  <c r="N51" i="5"/>
  <c r="L52" i="5"/>
  <c r="N52" i="5"/>
  <c r="L53" i="5"/>
  <c r="N53" i="5"/>
  <c r="L54" i="5"/>
  <c r="N54" i="5"/>
  <c r="L55" i="5"/>
  <c r="N55" i="5"/>
  <c r="L56" i="5"/>
  <c r="N56" i="5"/>
  <c r="L57" i="5"/>
  <c r="N57" i="5"/>
  <c r="L58" i="5"/>
  <c r="N58" i="5"/>
  <c r="L59" i="5"/>
  <c r="N59" i="5"/>
  <c r="L60" i="5"/>
  <c r="N60" i="5"/>
  <c r="L61" i="5"/>
  <c r="N61" i="5"/>
  <c r="L62" i="5"/>
  <c r="N62" i="5"/>
  <c r="L63" i="5"/>
  <c r="N63" i="5"/>
  <c r="L64" i="5"/>
  <c r="N64" i="5"/>
  <c r="L65" i="5"/>
  <c r="N65" i="5"/>
  <c r="L66" i="5"/>
  <c r="N66" i="5"/>
  <c r="L67" i="5"/>
  <c r="N67" i="5"/>
  <c r="L68" i="5"/>
  <c r="N68" i="5"/>
  <c r="L69" i="5"/>
  <c r="N69" i="5"/>
  <c r="L70" i="5"/>
  <c r="N70" i="5"/>
  <c r="L71" i="5"/>
  <c r="N71" i="5"/>
  <c r="L72" i="5"/>
  <c r="N72" i="5"/>
  <c r="L73" i="5"/>
  <c r="N73" i="5"/>
  <c r="L74" i="5"/>
  <c r="N74" i="5"/>
  <c r="L75" i="5"/>
  <c r="N75" i="5"/>
  <c r="L76" i="5"/>
  <c r="N76" i="5"/>
  <c r="L77" i="5"/>
  <c r="N77" i="5"/>
  <c r="L78" i="5"/>
  <c r="N78" i="5"/>
  <c r="L79" i="5"/>
  <c r="N79" i="5"/>
  <c r="L80" i="5"/>
  <c r="N80" i="5"/>
  <c r="L82" i="5"/>
  <c r="N82" i="5"/>
  <c r="N85" i="5"/>
  <c r="L86" i="5"/>
  <c r="N86" i="5"/>
  <c r="L87" i="5"/>
  <c r="N87" i="5"/>
  <c r="L88" i="5"/>
  <c r="N88" i="5"/>
  <c r="L89" i="5"/>
  <c r="N89" i="5"/>
  <c r="L90" i="5"/>
  <c r="N90" i="5"/>
  <c r="L91" i="5"/>
  <c r="N91" i="5"/>
  <c r="L92" i="5"/>
  <c r="N92" i="5"/>
  <c r="L93" i="5"/>
  <c r="N93" i="5"/>
  <c r="O40" i="5"/>
  <c r="O33" i="5"/>
  <c r="U33" i="5" s="1"/>
  <c r="K84" i="5"/>
  <c r="K81" i="5"/>
  <c r="N81" i="5" s="1"/>
  <c r="K40" i="5"/>
  <c r="K36" i="5"/>
  <c r="K33" i="5"/>
  <c r="K31" i="5"/>
  <c r="K26" i="5"/>
  <c r="K22" i="5"/>
  <c r="K18" i="5"/>
  <c r="K13" i="5"/>
  <c r="K11" i="5"/>
  <c r="J36" i="5"/>
  <c r="J40" i="5"/>
  <c r="J11" i="5"/>
  <c r="U64" i="5" l="1"/>
  <c r="T13" i="5"/>
  <c r="U81" i="5"/>
  <c r="U38" i="5"/>
  <c r="L40" i="5"/>
  <c r="L36" i="5"/>
  <c r="Q33" i="5"/>
  <c r="R33" i="5"/>
  <c r="Q40" i="5"/>
  <c r="R40" i="5"/>
  <c r="L11" i="5"/>
  <c r="K25" i="5"/>
  <c r="K9" i="5"/>
  <c r="K94" i="5" l="1"/>
  <c r="M10" i="5" l="1"/>
  <c r="M16" i="5"/>
  <c r="M20" i="5"/>
  <c r="M24" i="5"/>
  <c r="M28" i="5"/>
  <c r="M32" i="5"/>
  <c r="M44" i="5"/>
  <c r="M48" i="5"/>
  <c r="M52" i="5"/>
  <c r="M56" i="5"/>
  <c r="M60" i="5"/>
  <c r="M64" i="5"/>
  <c r="M68" i="5"/>
  <c r="M72" i="5"/>
  <c r="M76" i="5"/>
  <c r="M80" i="5"/>
  <c r="M85" i="5"/>
  <c r="M89" i="5"/>
  <c r="M93" i="5"/>
  <c r="M12" i="5"/>
  <c r="M18" i="5"/>
  <c r="M34" i="5"/>
  <c r="M38" i="5"/>
  <c r="M46" i="5"/>
  <c r="M54" i="5"/>
  <c r="M62" i="5"/>
  <c r="M70" i="5"/>
  <c r="M78" i="5"/>
  <c r="M91" i="5"/>
  <c r="M37" i="5"/>
  <c r="M45" i="5"/>
  <c r="M53" i="5"/>
  <c r="M61" i="5"/>
  <c r="M69" i="5"/>
  <c r="M73" i="5"/>
  <c r="M94" i="5"/>
  <c r="M15" i="5"/>
  <c r="M19" i="5"/>
  <c r="M23" i="5"/>
  <c r="M27" i="5"/>
  <c r="M35" i="5"/>
  <c r="M39" i="5"/>
  <c r="M43" i="5"/>
  <c r="M47" i="5"/>
  <c r="M51" i="5"/>
  <c r="M55" i="5"/>
  <c r="M59" i="5"/>
  <c r="M63" i="5"/>
  <c r="M67" i="5"/>
  <c r="M71" i="5"/>
  <c r="M75" i="5"/>
  <c r="M79" i="5"/>
  <c r="M88" i="5"/>
  <c r="M92" i="5"/>
  <c r="M14" i="5"/>
  <c r="M30" i="5"/>
  <c r="M42" i="5"/>
  <c r="M50" i="5"/>
  <c r="M58" i="5"/>
  <c r="M66" i="5"/>
  <c r="M74" i="5"/>
  <c r="M82" i="5"/>
  <c r="M87" i="5"/>
  <c r="M17" i="5"/>
  <c r="M21" i="5"/>
  <c r="M29" i="5"/>
  <c r="M33" i="5"/>
  <c r="M41" i="5"/>
  <c r="M49" i="5"/>
  <c r="M57" i="5"/>
  <c r="M65" i="5"/>
  <c r="M77" i="5"/>
  <c r="M81" i="5"/>
  <c r="M86" i="5"/>
  <c r="M90" i="5"/>
  <c r="M26" i="5"/>
  <c r="M11" i="5"/>
  <c r="M22" i="5"/>
  <c r="M31" i="5"/>
  <c r="M36" i="5"/>
  <c r="M13" i="5"/>
  <c r="M84" i="5"/>
  <c r="M40" i="5"/>
  <c r="M25" i="5"/>
  <c r="I40" i="5" l="1"/>
  <c r="N40" i="5" s="1"/>
  <c r="I26" i="5"/>
  <c r="N26" i="5" s="1"/>
  <c r="J81" i="5"/>
  <c r="L81" i="5" s="1"/>
  <c r="F81" i="5"/>
  <c r="C81" i="5"/>
  <c r="R81" i="5" l="1"/>
  <c r="S81" i="5"/>
  <c r="I31" i="5"/>
  <c r="N31" i="5" s="1"/>
  <c r="U18" i="5"/>
  <c r="J18" i="5"/>
  <c r="L18" i="5" s="1"/>
  <c r="I18" i="5"/>
  <c r="N18" i="5" s="1"/>
  <c r="Q18" i="5" l="1"/>
  <c r="R18" i="5"/>
  <c r="B13" i="5"/>
  <c r="I13" i="5"/>
  <c r="N13" i="5" s="1"/>
  <c r="I11" i="5"/>
  <c r="N11" i="5" s="1"/>
  <c r="F84" i="5" l="1"/>
  <c r="F40" i="5"/>
  <c r="S40" i="5" s="1"/>
  <c r="F36" i="5"/>
  <c r="F33" i="5"/>
  <c r="S33" i="5" s="1"/>
  <c r="F31" i="5"/>
  <c r="F26" i="5"/>
  <c r="F22" i="5"/>
  <c r="F18" i="5"/>
  <c r="S18" i="5" s="1"/>
  <c r="F13" i="5"/>
  <c r="F11" i="5"/>
  <c r="C84" i="5"/>
  <c r="C40" i="5"/>
  <c r="C36" i="5"/>
  <c r="C33" i="5"/>
  <c r="C31" i="5"/>
  <c r="C26" i="5"/>
  <c r="C22" i="5"/>
  <c r="C18" i="5"/>
  <c r="C13" i="5"/>
  <c r="C11" i="5"/>
  <c r="B84" i="5"/>
  <c r="B40" i="5"/>
  <c r="B36" i="5"/>
  <c r="B33" i="5"/>
  <c r="B31" i="5"/>
  <c r="B26" i="5"/>
  <c r="B22" i="5"/>
  <c r="B18" i="5"/>
  <c r="B9" i="5" s="1"/>
  <c r="B11" i="5"/>
  <c r="C9" i="5" l="1"/>
  <c r="F9" i="5"/>
  <c r="B25" i="5"/>
  <c r="B94" i="5" s="1"/>
  <c r="C25" i="5"/>
  <c r="F25" i="5"/>
  <c r="C94" i="5" l="1"/>
  <c r="D81" i="5" s="1"/>
  <c r="F94" i="5"/>
  <c r="H33" i="5"/>
  <c r="D9" i="5" l="1"/>
  <c r="G60" i="5"/>
  <c r="G62" i="5"/>
  <c r="G64" i="5"/>
  <c r="G66" i="5"/>
  <c r="G68" i="5"/>
  <c r="G70" i="5"/>
  <c r="G72" i="5"/>
  <c r="G74" i="5"/>
  <c r="G76" i="5"/>
  <c r="G78" i="5"/>
  <c r="G80" i="5"/>
  <c r="G59" i="5"/>
  <c r="G61" i="5"/>
  <c r="G63" i="5"/>
  <c r="G65" i="5"/>
  <c r="G67" i="5"/>
  <c r="G69" i="5"/>
  <c r="G71" i="5"/>
  <c r="G73" i="5"/>
  <c r="G75" i="5"/>
  <c r="G77" i="5"/>
  <c r="G79" i="5"/>
  <c r="D43" i="5"/>
  <c r="D49" i="5"/>
  <c r="O11" i="5" l="1"/>
  <c r="U11" i="5" s="1"/>
  <c r="O26" i="5"/>
  <c r="U26" i="5" s="1"/>
  <c r="O13" i="5"/>
  <c r="U13" i="5" s="1"/>
  <c r="T25" i="5" l="1"/>
  <c r="U40" i="5"/>
  <c r="Q13" i="5"/>
  <c r="R13" i="5"/>
  <c r="S13" i="5"/>
  <c r="Q11" i="5"/>
  <c r="R11" i="5"/>
  <c r="S11" i="5"/>
  <c r="Q26" i="5"/>
  <c r="R26" i="5"/>
  <c r="S26" i="5"/>
  <c r="T84" i="5"/>
  <c r="T9" i="5"/>
  <c r="T94" i="5" l="1"/>
  <c r="J84" i="5"/>
  <c r="L84" i="5" s="1"/>
  <c r="H88" i="5"/>
  <c r="M9" i="5" l="1"/>
  <c r="J26" i="5"/>
  <c r="L26" i="5" s="1"/>
  <c r="I36" i="5" l="1"/>
  <c r="N36" i="5" s="1"/>
  <c r="H93" i="5" l="1"/>
  <c r="E93" i="5"/>
  <c r="H92" i="5"/>
  <c r="E92" i="5"/>
  <c r="E89" i="5"/>
  <c r="E88" i="5"/>
  <c r="H87" i="5"/>
  <c r="E87" i="5"/>
  <c r="H86" i="5"/>
  <c r="E86" i="5"/>
  <c r="H85" i="5"/>
  <c r="E85" i="5"/>
  <c r="E82" i="5"/>
  <c r="E81" i="5"/>
  <c r="H58" i="5"/>
  <c r="E58" i="5"/>
  <c r="H57" i="5"/>
  <c r="E57" i="5"/>
  <c r="H56" i="5"/>
  <c r="E56" i="5"/>
  <c r="H55" i="5"/>
  <c r="E55" i="5"/>
  <c r="H54" i="5"/>
  <c r="E54" i="5"/>
  <c r="H53" i="5"/>
  <c r="E53" i="5"/>
  <c r="H52" i="5"/>
  <c r="E52" i="5"/>
  <c r="H51" i="5"/>
  <c r="E51" i="5"/>
  <c r="H50" i="5"/>
  <c r="E50" i="5"/>
  <c r="H48" i="5"/>
  <c r="E48" i="5"/>
  <c r="E47" i="5"/>
  <c r="H46" i="5"/>
  <c r="E46" i="5"/>
  <c r="H45" i="5"/>
  <c r="E45" i="5"/>
  <c r="H44" i="5"/>
  <c r="E44" i="5"/>
  <c r="H42" i="5"/>
  <c r="E42" i="5"/>
  <c r="H41" i="5"/>
  <c r="E41" i="5"/>
  <c r="H39" i="5"/>
  <c r="E39" i="5"/>
  <c r="H38" i="5"/>
  <c r="E38" i="5"/>
  <c r="H37" i="5"/>
  <c r="E37" i="5"/>
  <c r="H35" i="5"/>
  <c r="E35" i="5"/>
  <c r="H34" i="5"/>
  <c r="E34" i="5"/>
  <c r="H32" i="5"/>
  <c r="E32" i="5"/>
  <c r="H30" i="5"/>
  <c r="E30" i="5"/>
  <c r="H29" i="5"/>
  <c r="E29" i="5"/>
  <c r="H28" i="5"/>
  <c r="E28" i="5"/>
  <c r="H27" i="5"/>
  <c r="E27" i="5"/>
  <c r="H26" i="5"/>
  <c r="E24" i="5"/>
  <c r="H23" i="5"/>
  <c r="E23" i="5"/>
  <c r="H21" i="5"/>
  <c r="E21" i="5"/>
  <c r="H19" i="5"/>
  <c r="E19" i="5"/>
  <c r="H17" i="5"/>
  <c r="E17" i="5"/>
  <c r="H16" i="5"/>
  <c r="E16" i="5"/>
  <c r="H15" i="5"/>
  <c r="E15" i="5"/>
  <c r="H14" i="5"/>
  <c r="E14" i="5"/>
  <c r="H12" i="5"/>
  <c r="E12" i="5"/>
  <c r="H10" i="5"/>
  <c r="E10" i="5"/>
  <c r="E11" i="5" l="1"/>
  <c r="E26" i="5"/>
  <c r="H11" i="5"/>
  <c r="H36" i="5"/>
  <c r="E40" i="5"/>
  <c r="E13" i="5"/>
  <c r="H31" i="5"/>
  <c r="H40" i="5"/>
  <c r="H13" i="5"/>
  <c r="E18" i="5"/>
  <c r="E31" i="5"/>
  <c r="E33" i="5"/>
  <c r="E84" i="5"/>
  <c r="H18" i="5"/>
  <c r="E22" i="5"/>
  <c r="E36" i="5"/>
  <c r="H84" i="5"/>
  <c r="O84" i="5"/>
  <c r="U84" i="5" s="1"/>
  <c r="I22" i="5"/>
  <c r="N22" i="5" s="1"/>
  <c r="Q84" i="5" l="1"/>
  <c r="R84" i="5"/>
  <c r="S84" i="5"/>
  <c r="E25" i="5"/>
  <c r="O22" i="5"/>
  <c r="U22" i="5" s="1"/>
  <c r="H25" i="5"/>
  <c r="H22" i="5"/>
  <c r="E9" i="5"/>
  <c r="O9" i="5" l="1"/>
  <c r="U7" i="5" s="1"/>
  <c r="Q22" i="5"/>
  <c r="R22" i="5"/>
  <c r="S22" i="5"/>
  <c r="D94" i="5"/>
  <c r="D58" i="5"/>
  <c r="D57" i="5"/>
  <c r="D56" i="5"/>
  <c r="D55" i="5"/>
  <c r="D54" i="5"/>
  <c r="D53" i="5"/>
  <c r="D52" i="5"/>
  <c r="D51" i="5"/>
  <c r="D50" i="5"/>
  <c r="D48" i="5"/>
  <c r="D47" i="5"/>
  <c r="D46" i="5"/>
  <c r="D45" i="5"/>
  <c r="D44" i="5"/>
  <c r="D42" i="5"/>
  <c r="D41" i="5"/>
  <c r="D30" i="5"/>
  <c r="D29" i="5"/>
  <c r="D28" i="5"/>
  <c r="D27" i="5"/>
  <c r="D93" i="5"/>
  <c r="D92" i="5"/>
  <c r="D89" i="5"/>
  <c r="D88" i="5"/>
  <c r="D87" i="5"/>
  <c r="D86" i="5"/>
  <c r="D85" i="5"/>
  <c r="D35" i="5"/>
  <c r="D34" i="5"/>
  <c r="D31" i="5"/>
  <c r="D21" i="5"/>
  <c r="D19" i="5"/>
  <c r="D14" i="5"/>
  <c r="D11" i="5"/>
  <c r="D32" i="5"/>
  <c r="D26" i="5"/>
  <c r="D17" i="5"/>
  <c r="D16" i="5"/>
  <c r="E94" i="5"/>
  <c r="D84" i="5"/>
  <c r="D82" i="5"/>
  <c r="D39" i="5"/>
  <c r="D38" i="5"/>
  <c r="D37" i="5"/>
  <c r="D33" i="5"/>
  <c r="D24" i="5"/>
  <c r="D23" i="5"/>
  <c r="D18" i="5"/>
  <c r="D10" i="5"/>
  <c r="D40" i="5"/>
  <c r="D15" i="5"/>
  <c r="D12" i="5"/>
  <c r="D22" i="5"/>
  <c r="D13" i="5"/>
  <c r="D36" i="5"/>
  <c r="D25" i="5"/>
  <c r="H9" i="5"/>
  <c r="J13" i="5"/>
  <c r="L13" i="5" s="1"/>
  <c r="H94" i="5" l="1"/>
  <c r="G93" i="5"/>
  <c r="G92" i="5"/>
  <c r="G89" i="5"/>
  <c r="G88" i="5"/>
  <c r="G87" i="5"/>
  <c r="G86" i="5"/>
  <c r="G85" i="5"/>
  <c r="G35" i="5"/>
  <c r="G34" i="5"/>
  <c r="G21" i="5"/>
  <c r="G19" i="5"/>
  <c r="G94" i="5"/>
  <c r="G58" i="5"/>
  <c r="G57" i="5"/>
  <c r="G56" i="5"/>
  <c r="G55" i="5"/>
  <c r="G54" i="5"/>
  <c r="G53" i="5"/>
  <c r="G52" i="5"/>
  <c r="G51" i="5"/>
  <c r="G50" i="5"/>
  <c r="G48" i="5"/>
  <c r="G47" i="5"/>
  <c r="G46" i="5"/>
  <c r="G45" i="5"/>
  <c r="G44" i="5"/>
  <c r="G42" i="5"/>
  <c r="G41" i="5"/>
  <c r="G30" i="5"/>
  <c r="G29" i="5"/>
  <c r="G28" i="5"/>
  <c r="G27" i="5"/>
  <c r="G10" i="5"/>
  <c r="G82" i="5"/>
  <c r="G39" i="5"/>
  <c r="G37" i="5"/>
  <c r="G32" i="5"/>
  <c r="G31" i="5"/>
  <c r="G17" i="5"/>
  <c r="G16" i="5"/>
  <c r="G15" i="5"/>
  <c r="G12" i="5"/>
  <c r="G38" i="5"/>
  <c r="G36" i="5"/>
  <c r="G23" i="5"/>
  <c r="G18" i="5"/>
  <c r="G13" i="5"/>
  <c r="G26" i="5"/>
  <c r="G14" i="5"/>
  <c r="G40" i="5"/>
  <c r="G33" i="5"/>
  <c r="G84" i="5"/>
  <c r="G11" i="5"/>
  <c r="G81" i="5"/>
  <c r="G24" i="5"/>
  <c r="G22" i="5"/>
  <c r="G25" i="5"/>
  <c r="G9" i="5"/>
  <c r="I84" i="5"/>
  <c r="N84" i="5" s="1"/>
  <c r="O36" i="5"/>
  <c r="U36" i="5" s="1"/>
  <c r="J22" i="5"/>
  <c r="L22" i="5" s="1"/>
  <c r="Q36" i="5" l="1"/>
  <c r="R36" i="5"/>
  <c r="S36" i="5"/>
  <c r="I9" i="5"/>
  <c r="N9" i="5" s="1"/>
  <c r="J9" i="5" l="1"/>
  <c r="L9" i="5" l="1"/>
  <c r="R9" i="5" l="1"/>
  <c r="Q9" i="5"/>
  <c r="U9" i="5"/>
  <c r="I33" i="5"/>
  <c r="J33" i="5"/>
  <c r="L33" i="5" s="1"/>
  <c r="O31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J85" i="7" s="1"/>
  <c r="K85" i="7" s="1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C31" i="7" s="1"/>
  <c r="B36" i="7"/>
  <c r="H35" i="7"/>
  <c r="E35" i="7"/>
  <c r="H34" i="7"/>
  <c r="E34" i="7"/>
  <c r="F33" i="7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L44" i="7"/>
  <c r="F31" i="7" l="1"/>
  <c r="E53" i="7"/>
  <c r="H60" i="7"/>
  <c r="H139" i="7"/>
  <c r="O25" i="5"/>
  <c r="U31" i="5"/>
  <c r="Q31" i="5"/>
  <c r="R31" i="5"/>
  <c r="S31" i="5"/>
  <c r="I25" i="5"/>
  <c r="N33" i="5"/>
  <c r="T6" i="5"/>
  <c r="H134" i="7"/>
  <c r="E56" i="7"/>
  <c r="E36" i="7"/>
  <c r="H39" i="7"/>
  <c r="F107" i="7"/>
  <c r="E60" i="7"/>
  <c r="C107" i="7"/>
  <c r="C77" i="7" s="1"/>
  <c r="H8" i="7"/>
  <c r="H10" i="7"/>
  <c r="B31" i="7"/>
  <c r="B7" i="7" s="1"/>
  <c r="E45" i="7"/>
  <c r="H53" i="7"/>
  <c r="E78" i="7"/>
  <c r="B77" i="7"/>
  <c r="H84" i="7"/>
  <c r="F82" i="7"/>
  <c r="F77" i="7" s="1"/>
  <c r="E82" i="7"/>
  <c r="E18" i="7"/>
  <c r="H33" i="7"/>
  <c r="H36" i="7"/>
  <c r="H45" i="7"/>
  <c r="E39" i="7"/>
  <c r="H56" i="7"/>
  <c r="E74" i="7"/>
  <c r="E139" i="7"/>
  <c r="H78" i="7"/>
  <c r="H113" i="7"/>
  <c r="J31" i="5"/>
  <c r="L31" i="5" s="1"/>
  <c r="H115" i="7"/>
  <c r="E10" i="7"/>
  <c r="C44" i="7"/>
  <c r="E44" i="7" s="1"/>
  <c r="H74" i="7"/>
  <c r="E33" i="7"/>
  <c r="H31" i="7"/>
  <c r="F44" i="7"/>
  <c r="H44" i="7" s="1"/>
  <c r="E107" i="7"/>
  <c r="H118" i="7"/>
  <c r="C17" i="7"/>
  <c r="H18" i="7"/>
  <c r="E8" i="7"/>
  <c r="F7" i="7"/>
  <c r="E77" i="7" l="1"/>
  <c r="H82" i="7"/>
  <c r="H107" i="7"/>
  <c r="O94" i="5"/>
  <c r="U94" i="5" s="1"/>
  <c r="U25" i="5"/>
  <c r="Q25" i="5"/>
  <c r="R25" i="5"/>
  <c r="S25" i="5"/>
  <c r="I94" i="5"/>
  <c r="N94" i="5" s="1"/>
  <c r="N25" i="5"/>
  <c r="J25" i="5"/>
  <c r="S9" i="5"/>
  <c r="E31" i="7"/>
  <c r="E17" i="7"/>
  <c r="C7" i="7"/>
  <c r="C145" i="7" s="1"/>
  <c r="D77" i="7" s="1"/>
  <c r="H17" i="7"/>
  <c r="H77" i="7"/>
  <c r="F145" i="7"/>
  <c r="B145" i="7"/>
  <c r="D83" i="7"/>
  <c r="D17" i="7"/>
  <c r="D98" i="7"/>
  <c r="D123" i="7" l="1"/>
  <c r="D85" i="7"/>
  <c r="D44" i="7"/>
  <c r="D95" i="7"/>
  <c r="D45" i="7"/>
  <c r="D135" i="7"/>
  <c r="D13" i="7"/>
  <c r="D105" i="7"/>
  <c r="D107" i="7"/>
  <c r="D139" i="7"/>
  <c r="E7" i="7"/>
  <c r="P83" i="5"/>
  <c r="J94" i="5"/>
  <c r="L94" i="5" s="1"/>
  <c r="L25" i="5"/>
  <c r="P10" i="5"/>
  <c r="P12" i="5"/>
  <c r="P14" i="5"/>
  <c r="P15" i="5"/>
  <c r="P16" i="5"/>
  <c r="P17" i="5"/>
  <c r="P19" i="5"/>
  <c r="P20" i="5"/>
  <c r="P21" i="5"/>
  <c r="P23" i="5"/>
  <c r="P24" i="5"/>
  <c r="P27" i="5"/>
  <c r="P28" i="5"/>
  <c r="P29" i="5"/>
  <c r="P30" i="5"/>
  <c r="P32" i="5"/>
  <c r="P34" i="5"/>
  <c r="P35" i="5"/>
  <c r="P37" i="5"/>
  <c r="P38" i="5"/>
  <c r="P39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2" i="5"/>
  <c r="P85" i="5"/>
  <c r="P86" i="5"/>
  <c r="P87" i="5"/>
  <c r="P88" i="5"/>
  <c r="P89" i="5"/>
  <c r="P90" i="5"/>
  <c r="P91" i="5"/>
  <c r="P92" i="5"/>
  <c r="P93" i="5"/>
  <c r="P94" i="5"/>
  <c r="Q94" i="5"/>
  <c r="R94" i="5"/>
  <c r="S94" i="5"/>
  <c r="P33" i="5"/>
  <c r="P40" i="5"/>
  <c r="P81" i="5"/>
  <c r="P18" i="5"/>
  <c r="P13" i="5"/>
  <c r="P11" i="5"/>
  <c r="P26" i="5"/>
  <c r="P84" i="5"/>
  <c r="P22" i="5"/>
  <c r="P36" i="5"/>
  <c r="P31" i="5"/>
  <c r="P25" i="5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P9" i="5" l="1"/>
</calcChain>
</file>

<file path=xl/sharedStrings.xml><?xml version="1.0" encoding="utf-8"?>
<sst xmlns="http://schemas.openxmlformats.org/spreadsheetml/2006/main" count="283" uniqueCount="232">
  <si>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</si>
  <si>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</si>
  <si>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</si>
  <si>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</si>
  <si>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</si>
  <si>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</si>
  <si>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</si>
  <si>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</si>
  <si>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</si>
  <si>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</si>
  <si>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</si>
  <si>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</si>
  <si>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</si>
  <si>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</si>
  <si>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</si>
  <si>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</si>
  <si>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</si>
  <si>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</si>
  <si>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</si>
  <si>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</si>
  <si>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</si>
  <si>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</si>
  <si>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</si>
  <si>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</si>
  <si>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</si>
  <si>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</si>
  <si>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</si>
  <si>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</si>
  <si>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</si>
  <si>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</si>
  <si>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</si>
  <si>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</si>
  <si>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</si>
  <si>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</si>
  <si>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</si>
  <si>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</si>
  <si>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</si>
  <si>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</si>
  <si>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</si>
  <si>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</si>
  <si>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</si>
  <si>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</si>
  <si>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</si>
  <si>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</si>
  <si>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</si>
  <si>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</si>
  <si>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</si>
  <si>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</si>
  <si>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</si>
  <si>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</si>
  <si>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</si>
  <si>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</si>
  <si>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</si>
  <si>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</si>
  <si>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</si>
  <si>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</si>
  <si>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</si>
  <si>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</si>
  <si>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</si>
  <si>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</si>
  <si>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</si>
  <si>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</si>
  <si>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</si>
  <si>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</si>
  <si>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</si>
  <si>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</si>
  <si>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</si>
  <si>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</si>
  <si>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</si>
  <si>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</si>
  <si>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</si>
  <si>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</si>
  <si>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</si>
  <si>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</si>
  <si>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</si>
  <si>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</si>
  <si>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</si>
  <si>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</si>
  <si>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</si>
  <si>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</si>
  <si>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</si>
  <si>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</si>
  <si>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</si>
  <si>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</si>
  <si>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</si>
  <si>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</si>
  <si>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</si>
  <si>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</si>
  <si>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</si>
  <si>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</si>
  <si>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</si>
  <si>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</si>
  <si>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</si>
  <si>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</si>
  <si>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</si>
  <si>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</si>
  <si>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</si>
  <si>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</si>
  <si>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</si>
  <si>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</si>
  <si>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</si>
  <si>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</si>
  <si>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</si>
  <si>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</si>
  <si>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</si>
  <si>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</si>
  <si>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</si>
  <si>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</si>
  <si>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</si>
  <si>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</si>
  <si>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</si>
  <si>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</si>
  <si>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</si>
  <si>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</si>
  <si>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</si>
  <si>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</si>
  <si>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</si>
  <si>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</si>
  <si>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</si>
  <si>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</si>
  <si>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</si>
  <si>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</si>
  <si>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</si>
  <si>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</si>
  <si>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</si>
  <si>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</si>
  <si>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</si>
  <si>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</si>
  <si>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</si>
  <si>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</si>
  <si>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</si>
  <si>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</si>
  <si>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</si>
  <si>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</si>
  <si>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</si>
  <si>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</si>
  <si>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</si>
  <si>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</si>
  <si>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</si>
  <si>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</si>
  <si>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</si>
  <si>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</si>
  <si>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</si>
  <si>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</si>
  <si>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</si>
  <si>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</si>
  <si>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</si>
  <si>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</si>
  <si>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</si>
  <si>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</si>
  <si>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</si>
  <si>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</si>
  <si>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</si>
  <si>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</si>
  <si>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</si>
  <si>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</si>
  <si>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</si>
  <si>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</si>
  <si>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</si>
  <si>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</si>
  <si>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</si>
  <si>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</si>
  <si>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</si>
  <si>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Прочие денежные взыскания (штрафы) за правонарушения в области дорожного движения</t>
  </si>
  <si>
    <t>Приложение № 2 к                                               заключению Счётной палаты</t>
  </si>
  <si>
    <t>Платежи от государственных и муниципальных унитарных предприятий</t>
  </si>
  <si>
    <t xml:space="preserve">% испол- нения уточнён- ного плана 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</si>
  <si>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</si>
  <si>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</si>
  <si>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налогообложения</t>
  </si>
  <si>
    <t>2019 год</t>
  </si>
  <si>
    <t>Доходы от продажи квартир</t>
  </si>
  <si>
    <t>Уточнённый  план по решению о бюджете, руб.</t>
  </si>
  <si>
    <t xml:space="preserve">Уточненный план по данным департамента финансов </t>
  </si>
  <si>
    <t>Уточнение плана, руб. (гр.11-гр. 10)</t>
  </si>
  <si>
    <t>Изменение плана, руб. (гр.11-гр.9)</t>
  </si>
  <si>
    <t>Первоначаль-              ный план, руб.</t>
  </si>
  <si>
    <t>удель-ный вес в общей сумме дохо-дов, %</t>
  </si>
  <si>
    <t>Сравнительный анализ исполнения доходной части бюджета за 2019-2020 годы</t>
  </si>
  <si>
    <t>исполнения и уточнённого плана 2020 года, руб. (гр. 15-гр. 11)</t>
  </si>
  <si>
    <t>исполнения 2020 года и 2019 года, руб.</t>
  </si>
  <si>
    <t>2020 год</t>
  </si>
  <si>
    <t>Прочие неналоговые  доходы бюджетов городских округов</t>
  </si>
  <si>
    <t>Налог на имущество физических лиц</t>
  </si>
  <si>
    <t>Доходы от продажи земельных участков, находящихся в государственной и муниципальной собственности</t>
  </si>
  <si>
    <t>Поступления сумм в возмещение вреда, причиняемого автомобильным дорогам местного значения транспортными сред-ствами, осуществляющими перевозки тяжеловесных и (или) крупногабаритных грузов, зачисляемые в бюджеты городских округов</t>
  </si>
  <si>
    <t>Штрафы, неустойки, пени, уплаченные в случае просрочки исполнения постав-щиком (подрядчиком, исполнителем) обязательств, предусмотренных муници-альным контрактом, заключенным муниципальным органом, казенным учреждением городского округа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</si>
  <si>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</si>
  <si>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</si>
  <si>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</si>
  <si>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Прочие безвозмездные поступления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</si>
  <si>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</si>
  <si>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</si>
  <si>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</si>
  <si>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</si>
  <si>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 за государст-венную регистрацию, а также за совер-шение прочих юридически значимых действий</t>
  </si>
  <si>
    <t>Доходы в виде прибыли, приходящейся на доли в уставных (складочных) капи-талах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</si>
  <si>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возмез-дное пользование государственного и муни-ципального имущества (за исключением имущества бюджетных и автономных учреждений, а также имущества государственных и муници-пальных унитарных предприятий, в том числе казенных)</t>
  </si>
  <si>
    <t>Прочие доходы от использования иму-щества и прав, находящихся в госуда-рственной и муниципальной собствен-ности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</si>
  <si>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</si>
  <si>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Денежные взыскания (штрафы) за нарушение законодательства Российской Федерации о недрах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</si>
  <si>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</si>
  <si>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</si>
  <si>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нару-шение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</si>
  <si>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Административные штрафы, установ-ленные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</si>
  <si>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установ-ленные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</si>
  <si>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установ-ленные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природопользова-ния,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</si>
  <si>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установле-нные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</si>
  <si>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</si>
  <si>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14 Кодекса Российской Федерации об административных правонарушениях, за административные правонарушения в области предприни-мательской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</si>
  <si>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установ-ленные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</si>
  <si>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установ-ленные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</si>
  <si>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Платежи, уплачиваемые в целях возме-щения вреда, причиняемого автомобиль-ным дорогам местного значения транс-портными средствами, осуществляю-щими перевозки тяжеловесных и (или) крупногабаритных грузов</t>
  </si>
  <si>
    <t>Административные штрафы, установ-ленные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</si>
  <si>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Доходы от денежных взысканий (штра-фов), поступающие в счет погашения задолженности, образовавшейся до 1 января 2020 года, подлежащие зачисле-нию в бюджет муниципального образо-вания по нормативам, действовавшим в 2019 году</t>
  </si>
  <si>
    <t>Поступления от денежных пожертвова-ний, предоставляемых физическими лицами получателям средств бюджетов городских округов</t>
  </si>
  <si>
    <t>Государственная пошлина по делам, рассматриваемым в судах общей юрисдикции, мировыми судьями</t>
  </si>
  <si>
    <t>Денежные взыскания (штрафы) за нару-шение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</si>
  <si>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нару-шение законодательства о налогах и сборах, предусмотренные статьёй 129.6 Налогового кодекса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</si>
  <si>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</si>
  <si>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</si>
  <si>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 xml:space="preserve">Денежные взыскания (штрафы) за нарушение законодательства об экологической экспертизе </t>
  </si>
  <si>
    <t>Административные штрафы, установ-ленные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</si>
  <si>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установ-ленные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</si>
  <si>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</si>
  <si>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установ-ленные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</si>
  <si>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</si>
  <si>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установ-ленные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</si>
  <si>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установ-ленные Главой 19 Кодекса Российской Федерации об административных правонарушениях, за административ-ные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</si>
  <si>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19 Кодекса Российской Федерации об административных правонарушениях, за административ-ные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</si>
  <si>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установ-ленные Главой 20 Кодекса Российской Федерации об административных правонарушениях, за административ-ные правонарушения, посягающие на общественный порядок и общест-венную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</si>
  <si>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(муници-пальным казенным учреждением)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</si>
</sst>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</numFmts>
  <fonts count="18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69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3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5" fillId="0" borderId="1" xfId="0" applyNumberFormat="1" applyFont="1" applyFill="1" applyBorder="1" applyAlignment="1">
      <alignment horizontal="right" vertical="center"/>
    </xf>
    <xf numFmtId="164" fontId="12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5" fillId="0" borderId="0" xfId="0" applyFont="1" applyFill="1"/>
    <xf numFmtId="49" fontId="1" fillId="0" borderId="1" xfId="3" applyNumberFormat="1" applyFont="1" applyFill="1" applyBorder="1" applyAlignment="1">
      <alignment horizontal="left" wrapText="1"/>
    </xf>
    <xf numFmtId="167" fontId="1" fillId="0" borderId="1" xfId="3" applyNumberFormat="1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64" fontId="5" fillId="0" borderId="0" xfId="0" applyNumberFormat="1" applyFont="1" applyFill="1"/>
    <xf numFmtId="0" fontId="9" fillId="0" borderId="0" xfId="0" applyFont="1" applyFill="1"/>
    <xf numFmtId="4" fontId="9" fillId="0" borderId="0" xfId="0" applyNumberFormat="1" applyFont="1" applyFill="1"/>
    <xf numFmtId="4" fontId="10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3" fontId="9" fillId="0" borderId="0" xfId="0" applyNumberFormat="1" applyFont="1" applyFill="1"/>
    <xf numFmtId="1" fontId="1" fillId="2" borderId="1" xfId="0" applyNumberFormat="1" applyFont="1" applyFill="1" applyBorder="1" applyAlignment="1">
      <alignment horizontal="left" vertical="center" wrapText="1"/>
    </xf>
    <xf numFmtId="43" fontId="5" fillId="0" borderId="0" xfId="0" applyNumberFormat="1" applyFont="1" applyFill="1" applyAlignment="1"/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4" fontId="17" fillId="0" borderId="0" xfId="0" applyNumberFormat="1" applyFont="1" applyFill="1"/>
    <xf numFmtId="2" fontId="5" fillId="0" borderId="0" xfId="0" applyNumberFormat="1" applyFont="1" applyFill="1"/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43" fontId="1" fillId="0" borderId="0" xfId="0" applyNumberFormat="1" applyFont="1" applyFill="1"/>
    <xf numFmtId="0" fontId="1" fillId="0" borderId="1" xfId="0" applyFont="1" applyFill="1" applyBorder="1"/>
    <xf numFmtId="166" fontId="1" fillId="0" borderId="0" xfId="0" applyNumberFormat="1" applyFont="1" applyFill="1"/>
    <xf numFmtId="4" fontId="1" fillId="0" borderId="0" xfId="0" applyNumberFormat="1" applyFont="1" applyFill="1"/>
    <xf numFmtId="4" fontId="1" fillId="0" borderId="1" xfId="0" applyNumberFormat="1" applyFont="1" applyFill="1" applyBorder="1"/>
    <xf numFmtId="3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4"/>
  <sheetViews>
    <sheetView tabSelected="1" view="pageBreakPreview" zoomScaleSheetLayoutView="100" workbookViewId="0">
      <pane xSplit="1" ySplit="8" topLeftCell="B88" activePane="bottomRight" state="frozen"/>
      <selection pane="topRight" activeCell="B1" sqref="B1"/>
      <selection pane="bottomLeft" activeCell="A7" sqref="A7"/>
      <selection pane="bottomRight" activeCell="A80" sqref="A80"/>
    </sheetView>
  </sheetViews>
  <sheetFormatPr defaultColWidth="9.140625" defaultRowHeight="15" x14ac:dyDescent="0.25"/>
  <cols>
    <col min="1" max="1" width="36.5703125" style="88" customWidth="1"/>
    <col min="2" max="2" width="16.85546875" style="112" customWidth="1"/>
    <col min="3" max="3" width="17.42578125" style="123" customWidth="1"/>
    <col min="4" max="4" width="8.5703125" style="112" customWidth="1"/>
    <col min="5" max="5" width="15.7109375" style="112" customWidth="1"/>
    <col min="6" max="6" width="17.28515625" style="112" customWidth="1"/>
    <col min="7" max="7" width="8.5703125" style="112" customWidth="1"/>
    <col min="8" max="8" width="9.28515625" style="112" customWidth="1"/>
    <col min="9" max="9" width="16.85546875" style="93" customWidth="1"/>
    <col min="10" max="10" width="18" style="89" customWidth="1"/>
    <col min="11" max="11" width="18.28515625" style="89" customWidth="1"/>
    <col min="12" max="12" width="15.85546875" style="89" customWidth="1"/>
    <col min="13" max="13" width="8.42578125" style="89" customWidth="1"/>
    <col min="14" max="14" width="15.140625" style="89" customWidth="1"/>
    <col min="15" max="15" width="17.42578125" style="89" customWidth="1"/>
    <col min="16" max="16" width="8.85546875" style="89" customWidth="1"/>
    <col min="17" max="17" width="13.85546875" style="89" customWidth="1"/>
    <col min="18" max="18" width="15.7109375" style="79" customWidth="1"/>
    <col min="19" max="19" width="17.28515625" style="79" customWidth="1"/>
    <col min="20" max="20" width="17.28515625" style="81" hidden="1" customWidth="1"/>
    <col min="21" max="21" width="17" style="81" hidden="1" customWidth="1"/>
    <col min="22" max="16384" width="9.140625" style="81"/>
  </cols>
  <sheetData>
    <row r="1" spans="1:23" s="102" customFormat="1" ht="26.25" customHeight="1" x14ac:dyDescent="0.2">
      <c r="A1" s="100"/>
      <c r="B1" s="101"/>
      <c r="C1" s="101"/>
      <c r="D1" s="101"/>
      <c r="E1" s="101"/>
      <c r="F1" s="101"/>
      <c r="G1" s="101"/>
      <c r="H1" s="101"/>
      <c r="I1" s="93"/>
      <c r="J1" s="89"/>
      <c r="K1" s="89"/>
      <c r="L1" s="89"/>
      <c r="M1" s="89"/>
      <c r="N1" s="89"/>
      <c r="O1" s="89"/>
      <c r="P1" s="89"/>
      <c r="Q1" s="89"/>
      <c r="R1" s="151" t="s">
        <v>164</v>
      </c>
      <c r="S1" s="152"/>
    </row>
    <row r="2" spans="1:23" s="102" customFormat="1" x14ac:dyDescent="0.25">
      <c r="A2" s="103"/>
      <c r="B2" s="129"/>
      <c r="C2" s="101"/>
      <c r="D2" s="101"/>
      <c r="E2" s="101"/>
      <c r="F2" s="101"/>
      <c r="G2" s="101"/>
      <c r="H2" s="101"/>
      <c r="I2" s="93"/>
      <c r="J2" s="89"/>
      <c r="K2" s="89"/>
      <c r="L2" s="89"/>
      <c r="M2" s="89"/>
      <c r="N2" s="89"/>
      <c r="O2" s="89"/>
      <c r="P2" s="89"/>
      <c r="Q2" s="89"/>
      <c r="R2" s="152"/>
      <c r="S2" s="152"/>
    </row>
    <row r="3" spans="1:23" s="102" customFormat="1" x14ac:dyDescent="0.25">
      <c r="A3" s="103"/>
      <c r="B3" s="101"/>
      <c r="C3" s="101"/>
      <c r="D3" s="101"/>
      <c r="E3" s="101"/>
      <c r="F3" s="101"/>
      <c r="G3" s="101"/>
      <c r="H3" s="101"/>
      <c r="I3" s="93"/>
      <c r="J3" s="89"/>
      <c r="K3" s="89"/>
      <c r="L3" s="89"/>
      <c r="M3" s="89"/>
      <c r="N3" s="89"/>
      <c r="O3" s="99"/>
      <c r="P3" s="89"/>
      <c r="Q3" s="89"/>
      <c r="R3" s="93"/>
      <c r="S3" s="89"/>
    </row>
    <row r="4" spans="1:23" s="102" customFormat="1" x14ac:dyDescent="0.25">
      <c r="A4" s="153" t="s">
        <v>178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</row>
    <row r="5" spans="1:23" s="102" customFormat="1" x14ac:dyDescent="0.25">
      <c r="A5" s="104"/>
      <c r="C5" s="105"/>
      <c r="I5" s="94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23" s="106" customFormat="1" ht="21.75" customHeight="1" x14ac:dyDescent="0.2">
      <c r="A6" s="157" t="s">
        <v>0</v>
      </c>
      <c r="B6" s="155" t="s">
        <v>170</v>
      </c>
      <c r="C6" s="155"/>
      <c r="D6" s="155"/>
      <c r="E6" s="155"/>
      <c r="F6" s="155"/>
      <c r="G6" s="155"/>
      <c r="H6" s="156"/>
      <c r="I6" s="155" t="s">
        <v>181</v>
      </c>
      <c r="J6" s="155"/>
      <c r="K6" s="155"/>
      <c r="L6" s="155"/>
      <c r="M6" s="155"/>
      <c r="N6" s="155"/>
      <c r="O6" s="155"/>
      <c r="P6" s="155"/>
      <c r="Q6" s="156"/>
      <c r="R6" s="155" t="s">
        <v>56</v>
      </c>
      <c r="S6" s="156"/>
      <c r="T6" s="137">
        <f>O9+O25</f>
        <v>3259915658.0600004</v>
      </c>
    </row>
    <row r="7" spans="1:23" s="106" customFormat="1" ht="99.75" x14ac:dyDescent="0.2">
      <c r="A7" s="158"/>
      <c r="B7" s="91" t="s">
        <v>176</v>
      </c>
      <c r="C7" s="95" t="s">
        <v>173</v>
      </c>
      <c r="D7" s="95" t="s">
        <v>177</v>
      </c>
      <c r="E7" s="91" t="s">
        <v>117</v>
      </c>
      <c r="F7" s="91" t="s">
        <v>75</v>
      </c>
      <c r="G7" s="95" t="s">
        <v>177</v>
      </c>
      <c r="H7" s="96" t="s">
        <v>166</v>
      </c>
      <c r="I7" s="91" t="s">
        <v>176</v>
      </c>
      <c r="J7" s="91" t="s">
        <v>172</v>
      </c>
      <c r="K7" s="95" t="s">
        <v>173</v>
      </c>
      <c r="L7" s="95" t="s">
        <v>174</v>
      </c>
      <c r="M7" s="95" t="s">
        <v>177</v>
      </c>
      <c r="N7" s="91" t="s">
        <v>175</v>
      </c>
      <c r="O7" s="91" t="s">
        <v>75</v>
      </c>
      <c r="P7" s="95" t="s">
        <v>177</v>
      </c>
      <c r="Q7" s="96" t="s">
        <v>166</v>
      </c>
      <c r="R7" s="91" t="s">
        <v>179</v>
      </c>
      <c r="S7" s="107" t="s">
        <v>180</v>
      </c>
      <c r="U7" s="137">
        <f>O10/O9*100</f>
        <v>72.988501013123283</v>
      </c>
    </row>
    <row r="8" spans="1:23" s="108" customFormat="1" ht="14.25" x14ac:dyDescent="0.2">
      <c r="A8" s="92">
        <v>1</v>
      </c>
      <c r="B8" s="97">
        <v>9</v>
      </c>
      <c r="C8" s="97">
        <v>11</v>
      </c>
      <c r="D8" s="97">
        <v>4</v>
      </c>
      <c r="E8" s="97">
        <v>5</v>
      </c>
      <c r="F8" s="92">
        <v>6</v>
      </c>
      <c r="G8" s="97">
        <v>7</v>
      </c>
      <c r="H8" s="97">
        <v>8</v>
      </c>
      <c r="I8" s="97">
        <v>9</v>
      </c>
      <c r="J8" s="92">
        <v>10</v>
      </c>
      <c r="K8" s="97">
        <v>11</v>
      </c>
      <c r="L8" s="97">
        <v>12</v>
      </c>
      <c r="M8" s="97">
        <v>13</v>
      </c>
      <c r="N8" s="97">
        <v>14</v>
      </c>
      <c r="O8" s="92">
        <v>15</v>
      </c>
      <c r="P8" s="97">
        <v>16</v>
      </c>
      <c r="Q8" s="97">
        <v>17</v>
      </c>
      <c r="R8" s="92">
        <v>18</v>
      </c>
      <c r="S8" s="97">
        <v>19</v>
      </c>
    </row>
    <row r="9" spans="1:23" s="106" customFormat="1" ht="14.25" x14ac:dyDescent="0.2">
      <c r="A9" s="109" t="s">
        <v>49</v>
      </c>
      <c r="B9" s="140">
        <f>B10+B13+B18+B22+B11</f>
        <v>2224867000</v>
      </c>
      <c r="C9" s="140">
        <f>C10+C13+C18+C22+C11</f>
        <v>2442362000</v>
      </c>
      <c r="D9" s="130">
        <f t="shared" ref="D9:D19" si="0">C9/C$94*100</f>
        <v>31.18776829849595</v>
      </c>
      <c r="E9" s="130">
        <f>C9-B9</f>
        <v>217495000</v>
      </c>
      <c r="F9" s="140">
        <f>F10+F13+F18+F22+F11</f>
        <v>2515695530.0799994</v>
      </c>
      <c r="G9" s="130">
        <f t="shared" ref="G9:G19" si="1">F9/F$94*100</f>
        <v>30.762611288419095</v>
      </c>
      <c r="H9" s="130">
        <f>F9/C9*100</f>
        <v>103.00256596196631</v>
      </c>
      <c r="I9" s="140">
        <f>I10+I13+I18+I22+I11</f>
        <v>2614317900</v>
      </c>
      <c r="J9" s="140">
        <f>J10+J13+J18+J22+J11</f>
        <v>2661636300</v>
      </c>
      <c r="K9" s="140">
        <f>K10+K13+K18+K22+K11</f>
        <v>2661636300</v>
      </c>
      <c r="L9" s="140">
        <f>K9-J9</f>
        <v>0</v>
      </c>
      <c r="M9" s="130">
        <f>K9/K$94*100</f>
        <v>26.591743966607122</v>
      </c>
      <c r="N9" s="130">
        <f>K9-I9</f>
        <v>47318400</v>
      </c>
      <c r="O9" s="140">
        <f>O10+O13+O18+O22+O11</f>
        <v>2773110491.5500002</v>
      </c>
      <c r="P9" s="130">
        <f>O9/O$94*100</f>
        <v>27.768189027356765</v>
      </c>
      <c r="Q9" s="130">
        <f>O9/K9*100</f>
        <v>104.1881827186532</v>
      </c>
      <c r="R9" s="130">
        <f>O9-K9</f>
        <v>111474191.55000019</v>
      </c>
      <c r="S9" s="130">
        <f t="shared" ref="S9" si="2">O9-F9</f>
        <v>257414961.47000074</v>
      </c>
      <c r="T9" s="140">
        <f>T10+T13+T18+T22+T11</f>
        <v>2773110491.5500002</v>
      </c>
      <c r="U9" s="141">
        <f>T9-O9</f>
        <v>0</v>
      </c>
    </row>
    <row r="10" spans="1:23" s="112" customFormat="1" x14ac:dyDescent="0.2">
      <c r="A10" s="110" t="s">
        <v>1</v>
      </c>
      <c r="B10" s="131">
        <v>1732595000</v>
      </c>
      <c r="C10" s="131">
        <v>1809640000</v>
      </c>
      <c r="D10" s="132">
        <f t="shared" si="0"/>
        <v>23.108217792321618</v>
      </c>
      <c r="E10" s="132">
        <f>C10-B10</f>
        <v>77045000</v>
      </c>
      <c r="F10" s="131">
        <v>1856869273.76</v>
      </c>
      <c r="G10" s="132">
        <f t="shared" si="1"/>
        <v>22.706304081349401</v>
      </c>
      <c r="H10" s="132">
        <f t="shared" ref="H10:H58" si="3">F10/C10*100</f>
        <v>102.60987123184722</v>
      </c>
      <c r="I10" s="131">
        <v>1962962000</v>
      </c>
      <c r="J10" s="131">
        <v>1962962000</v>
      </c>
      <c r="K10" s="131">
        <v>1962962000</v>
      </c>
      <c r="L10" s="131">
        <f t="shared" ref="L10:L73" si="4">K10-J10</f>
        <v>0</v>
      </c>
      <c r="M10" s="132">
        <f t="shared" ref="M10:M73" si="5">K10/K$94*100</f>
        <v>19.611463414508982</v>
      </c>
      <c r="N10" s="132">
        <f t="shared" ref="N10:N73" si="6">K10-I10</f>
        <v>0</v>
      </c>
      <c r="O10" s="131">
        <v>2024051779.22</v>
      </c>
      <c r="P10" s="132">
        <f t="shared" ref="P10:P73" si="7">O10/O$94*100</f>
        <v>20.267584929558279</v>
      </c>
      <c r="Q10" s="132">
        <f t="shared" ref="Q10:Q73" si="8">O10/K10*100</f>
        <v>103.11212235489022</v>
      </c>
      <c r="R10" s="132">
        <f t="shared" ref="R10:R73" si="9">O10-K10</f>
        <v>61089779.220000029</v>
      </c>
      <c r="S10" s="132">
        <f t="shared" ref="S10:S73" si="10">O10-F10</f>
        <v>167182505.46000004</v>
      </c>
      <c r="T10" s="131">
        <f>1994714542.54+7039894.78+9474577.19+12822764.71</f>
        <v>2024051779.22</v>
      </c>
      <c r="U10" s="141">
        <f t="shared" ref="U10:U73" si="11">T10-O10</f>
        <v>0</v>
      </c>
      <c r="W10" s="139"/>
    </row>
    <row r="11" spans="1:23" s="112" customFormat="1" ht="45" customHeight="1" x14ac:dyDescent="0.25">
      <c r="A11" s="113" t="s">
        <v>193</v>
      </c>
      <c r="B11" s="133">
        <f>B12</f>
        <v>6857000</v>
      </c>
      <c r="C11" s="133">
        <f>C12</f>
        <v>7500000</v>
      </c>
      <c r="D11" s="132">
        <f t="shared" si="0"/>
        <v>9.5771332111586907E-2</v>
      </c>
      <c r="E11" s="132">
        <f>C11-B11</f>
        <v>643000</v>
      </c>
      <c r="F11" s="133">
        <f>F12</f>
        <v>8774519.4299999997</v>
      </c>
      <c r="G11" s="132">
        <f t="shared" si="1"/>
        <v>0.10729721750516723</v>
      </c>
      <c r="H11" s="132">
        <f t="shared" si="3"/>
        <v>116.9935924</v>
      </c>
      <c r="I11" s="133">
        <f>I12</f>
        <v>8192400</v>
      </c>
      <c r="J11" s="133">
        <f>J12</f>
        <v>7692400</v>
      </c>
      <c r="K11" s="133">
        <f>K12</f>
        <v>7692400</v>
      </c>
      <c r="L11" s="131">
        <f t="shared" si="4"/>
        <v>0</v>
      </c>
      <c r="M11" s="132">
        <f t="shared" si="5"/>
        <v>7.6852848485996605E-2</v>
      </c>
      <c r="N11" s="132">
        <f t="shared" si="6"/>
        <v>-500000</v>
      </c>
      <c r="O11" s="133">
        <f>O12</f>
        <v>8048394.2699999996</v>
      </c>
      <c r="P11" s="132">
        <f t="shared" si="7"/>
        <v>8.0591571860210334E-2</v>
      </c>
      <c r="Q11" s="132">
        <f t="shared" si="8"/>
        <v>104.62786997556029</v>
      </c>
      <c r="R11" s="132">
        <f t="shared" si="9"/>
        <v>355994.26999999955</v>
      </c>
      <c r="S11" s="132">
        <f t="shared" si="10"/>
        <v>-726125.16000000015</v>
      </c>
      <c r="T11" s="133">
        <f>T12</f>
        <v>8048394.2699999996</v>
      </c>
      <c r="U11" s="141">
        <f t="shared" si="11"/>
        <v>0</v>
      </c>
      <c r="V11" s="111"/>
    </row>
    <row r="12" spans="1:23" s="112" customFormat="1" ht="45" x14ac:dyDescent="0.25">
      <c r="A12" s="114" t="s">
        <v>194</v>
      </c>
      <c r="B12" s="133">
        <v>6857000</v>
      </c>
      <c r="C12" s="133">
        <v>7500000</v>
      </c>
      <c r="D12" s="132">
        <f t="shared" si="0"/>
        <v>9.5771332111586907E-2</v>
      </c>
      <c r="E12" s="132">
        <f t="shared" ref="E12:E22" si="12">C12-B12</f>
        <v>643000</v>
      </c>
      <c r="F12" s="133">
        <v>8774519.4299999997</v>
      </c>
      <c r="G12" s="132">
        <f t="shared" si="1"/>
        <v>0.10729721750516723</v>
      </c>
      <c r="H12" s="132">
        <f t="shared" si="3"/>
        <v>116.9935924</v>
      </c>
      <c r="I12" s="133">
        <v>8192400</v>
      </c>
      <c r="J12" s="133">
        <v>7692400</v>
      </c>
      <c r="K12" s="133">
        <v>7692400</v>
      </c>
      <c r="L12" s="131">
        <f t="shared" si="4"/>
        <v>0</v>
      </c>
      <c r="M12" s="132">
        <f t="shared" si="5"/>
        <v>7.6852848485996605E-2</v>
      </c>
      <c r="N12" s="132">
        <f t="shared" si="6"/>
        <v>-500000</v>
      </c>
      <c r="O12" s="133">
        <v>8048394.2699999996</v>
      </c>
      <c r="P12" s="132">
        <f t="shared" si="7"/>
        <v>8.0591571860210334E-2</v>
      </c>
      <c r="Q12" s="132">
        <f t="shared" si="8"/>
        <v>104.62786997556029</v>
      </c>
      <c r="R12" s="132">
        <f t="shared" si="9"/>
        <v>355994.26999999955</v>
      </c>
      <c r="S12" s="132">
        <f t="shared" si="10"/>
        <v>-726125.16000000015</v>
      </c>
      <c r="T12" s="133">
        <f>3712223.29+26552.5+4993983.32-684364.84</f>
        <v>8048394.2699999996</v>
      </c>
      <c r="U12" s="141">
        <f t="shared" si="11"/>
        <v>0</v>
      </c>
    </row>
    <row r="13" spans="1:23" s="112" customFormat="1" x14ac:dyDescent="0.2">
      <c r="A13" s="110" t="s">
        <v>7</v>
      </c>
      <c r="B13" s="131">
        <f>B14+B15+B16+B17</f>
        <v>373590000</v>
      </c>
      <c r="C13" s="131">
        <f>C14+C15+C16+C17</f>
        <v>494004000</v>
      </c>
      <c r="D13" s="132">
        <f t="shared" si="0"/>
        <v>6.308189486460317</v>
      </c>
      <c r="E13" s="132">
        <f t="shared" si="12"/>
        <v>120414000</v>
      </c>
      <c r="F13" s="131">
        <f>F14+F15+F16+F17</f>
        <v>507173151.39999998</v>
      </c>
      <c r="G13" s="132">
        <f t="shared" si="1"/>
        <v>6.2018516652309588</v>
      </c>
      <c r="H13" s="132">
        <f t="shared" si="3"/>
        <v>102.66579853604424</v>
      </c>
      <c r="I13" s="131">
        <f>I14+I15+I16+I17</f>
        <v>456960800</v>
      </c>
      <c r="J13" s="131">
        <f>J14+J15+J16+J17</f>
        <v>507769200</v>
      </c>
      <c r="K13" s="131">
        <f>K14+K15+K16+K17</f>
        <v>507769200</v>
      </c>
      <c r="L13" s="131">
        <f t="shared" si="4"/>
        <v>0</v>
      </c>
      <c r="M13" s="132">
        <f t="shared" si="5"/>
        <v>5.0729953452050998</v>
      </c>
      <c r="N13" s="132">
        <f t="shared" si="6"/>
        <v>50808400</v>
      </c>
      <c r="O13" s="131">
        <f>O14+O15+O16+O17</f>
        <v>527938589.12</v>
      </c>
      <c r="P13" s="132">
        <f t="shared" si="7"/>
        <v>5.2864458816879685</v>
      </c>
      <c r="Q13" s="132">
        <f t="shared" si="8"/>
        <v>103.97215686181833</v>
      </c>
      <c r="R13" s="132">
        <f t="shared" si="9"/>
        <v>20169389.120000005</v>
      </c>
      <c r="S13" s="132">
        <f t="shared" si="10"/>
        <v>20765437.720000029</v>
      </c>
      <c r="T13" s="131">
        <f>T14+T15+T16+T17</f>
        <v>527938589.12</v>
      </c>
      <c r="U13" s="141">
        <f t="shared" si="11"/>
        <v>0</v>
      </c>
    </row>
    <row r="14" spans="1:23" s="112" customFormat="1" ht="29.25" customHeight="1" x14ac:dyDescent="0.2">
      <c r="A14" s="115" t="s">
        <v>161</v>
      </c>
      <c r="B14" s="131">
        <v>270000000</v>
      </c>
      <c r="C14" s="131">
        <v>395000000</v>
      </c>
      <c r="D14" s="132">
        <f t="shared" si="0"/>
        <v>5.0439568245435762</v>
      </c>
      <c r="E14" s="132">
        <f t="shared" si="12"/>
        <v>125000000</v>
      </c>
      <c r="F14" s="131">
        <v>408526529.77999997</v>
      </c>
      <c r="G14" s="132">
        <f t="shared" si="1"/>
        <v>4.9955738627198905</v>
      </c>
      <c r="H14" s="132">
        <f t="shared" si="3"/>
        <v>103.42443791898734</v>
      </c>
      <c r="I14" s="131">
        <v>353830000</v>
      </c>
      <c r="J14" s="131">
        <v>430000000</v>
      </c>
      <c r="K14" s="131">
        <v>430000000</v>
      </c>
      <c r="L14" s="131">
        <f t="shared" si="4"/>
        <v>0</v>
      </c>
      <c r="M14" s="132">
        <f t="shared" si="5"/>
        <v>4.2960226780950732</v>
      </c>
      <c r="N14" s="132">
        <f t="shared" si="6"/>
        <v>76170000</v>
      </c>
      <c r="O14" s="131">
        <v>446046041.79000002</v>
      </c>
      <c r="P14" s="132">
        <f t="shared" si="7"/>
        <v>4.4664252798690454</v>
      </c>
      <c r="Q14" s="132">
        <f t="shared" si="8"/>
        <v>103.7316376255814</v>
      </c>
      <c r="R14" s="132">
        <f t="shared" si="9"/>
        <v>16046041.790000021</v>
      </c>
      <c r="S14" s="132">
        <f t="shared" si="10"/>
        <v>37519512.01000005</v>
      </c>
      <c r="T14" s="131">
        <f>358331487.26+50847.78+87652148.38+11558.37</f>
        <v>446046041.78999996</v>
      </c>
      <c r="U14" s="141">
        <f t="shared" si="11"/>
        <v>0</v>
      </c>
    </row>
    <row r="15" spans="1:23" s="112" customFormat="1" ht="32.25" customHeight="1" x14ac:dyDescent="0.2">
      <c r="A15" s="115" t="s">
        <v>119</v>
      </c>
      <c r="B15" s="131">
        <v>76400000</v>
      </c>
      <c r="C15" s="131">
        <v>72414000</v>
      </c>
      <c r="D15" s="132">
        <f t="shared" si="0"/>
        <v>0.92469136580379385</v>
      </c>
      <c r="E15" s="132">
        <f t="shared" si="12"/>
        <v>-3986000</v>
      </c>
      <c r="F15" s="131">
        <v>72524633.519999996</v>
      </c>
      <c r="G15" s="132">
        <f t="shared" si="1"/>
        <v>0.88685100527243144</v>
      </c>
      <c r="H15" s="132">
        <f t="shared" si="3"/>
        <v>100.15277918634517</v>
      </c>
      <c r="I15" s="131">
        <v>75887200</v>
      </c>
      <c r="J15" s="131">
        <v>55887200</v>
      </c>
      <c r="K15" s="131">
        <v>55887200</v>
      </c>
      <c r="L15" s="131">
        <f t="shared" si="4"/>
        <v>0</v>
      </c>
      <c r="M15" s="132">
        <f t="shared" si="5"/>
        <v>0.55835506654705813</v>
      </c>
      <c r="N15" s="132">
        <f t="shared" si="6"/>
        <v>-20000000</v>
      </c>
      <c r="O15" s="131">
        <v>57471450.719999999</v>
      </c>
      <c r="P15" s="132">
        <f t="shared" si="7"/>
        <v>0.57548305851216919</v>
      </c>
      <c r="Q15" s="132">
        <f t="shared" si="8"/>
        <v>102.83472909718145</v>
      </c>
      <c r="R15" s="132">
        <f t="shared" si="9"/>
        <v>1584250.7199999988</v>
      </c>
      <c r="S15" s="132">
        <f t="shared" si="10"/>
        <v>-15053182.799999997</v>
      </c>
      <c r="T15" s="131">
        <f>57354002.9+117447.82</f>
        <v>57471450.719999999</v>
      </c>
      <c r="U15" s="141">
        <f t="shared" si="11"/>
        <v>0</v>
      </c>
    </row>
    <row r="16" spans="1:23" s="112" customFormat="1" ht="16.5" customHeight="1" x14ac:dyDescent="0.2">
      <c r="A16" s="115" t="s">
        <v>50</v>
      </c>
      <c r="B16" s="131">
        <v>1190000</v>
      </c>
      <c r="C16" s="131">
        <v>1298000</v>
      </c>
      <c r="D16" s="132">
        <f t="shared" si="0"/>
        <v>1.6574825210778639E-2</v>
      </c>
      <c r="E16" s="132">
        <f t="shared" si="12"/>
        <v>108000</v>
      </c>
      <c r="F16" s="131">
        <v>1298249.6200000001</v>
      </c>
      <c r="G16" s="132">
        <f t="shared" si="1"/>
        <v>1.5875350549328114E-2</v>
      </c>
      <c r="H16" s="132">
        <f t="shared" si="3"/>
        <v>100.01923112480739</v>
      </c>
      <c r="I16" s="131">
        <v>1243600</v>
      </c>
      <c r="J16" s="131">
        <v>882000</v>
      </c>
      <c r="K16" s="131">
        <v>882000</v>
      </c>
      <c r="L16" s="131">
        <f t="shared" si="4"/>
        <v>0</v>
      </c>
      <c r="M16" s="132">
        <f t="shared" si="5"/>
        <v>8.8118418653019871E-3</v>
      </c>
      <c r="N16" s="132">
        <f t="shared" si="6"/>
        <v>-361600</v>
      </c>
      <c r="O16" s="131">
        <v>882058</v>
      </c>
      <c r="P16" s="132">
        <f t="shared" si="7"/>
        <v>8.8323755406522104E-3</v>
      </c>
      <c r="Q16" s="132">
        <f t="shared" si="8"/>
        <v>100.00657596371883</v>
      </c>
      <c r="R16" s="132">
        <f t="shared" si="9"/>
        <v>58</v>
      </c>
      <c r="S16" s="132">
        <f t="shared" si="10"/>
        <v>-416191.62000000011</v>
      </c>
      <c r="T16" s="131">
        <v>882058</v>
      </c>
      <c r="U16" s="141">
        <f t="shared" si="11"/>
        <v>0</v>
      </c>
    </row>
    <row r="17" spans="1:21" s="112" customFormat="1" ht="28.5" customHeight="1" x14ac:dyDescent="0.2">
      <c r="A17" s="115" t="s">
        <v>169</v>
      </c>
      <c r="B17" s="134">
        <v>26000000</v>
      </c>
      <c r="C17" s="134">
        <v>25292000</v>
      </c>
      <c r="D17" s="132">
        <f t="shared" si="0"/>
        <v>0.32296647090216746</v>
      </c>
      <c r="E17" s="132">
        <f t="shared" si="12"/>
        <v>-708000</v>
      </c>
      <c r="F17" s="134">
        <v>24823738.48</v>
      </c>
      <c r="G17" s="132">
        <f t="shared" si="1"/>
        <v>0.30355144668930878</v>
      </c>
      <c r="H17" s="132">
        <f t="shared" si="3"/>
        <v>98.148578522853086</v>
      </c>
      <c r="I17" s="134">
        <v>26000000</v>
      </c>
      <c r="J17" s="134">
        <v>21000000</v>
      </c>
      <c r="K17" s="134">
        <v>21000000</v>
      </c>
      <c r="L17" s="131">
        <f t="shared" si="4"/>
        <v>0</v>
      </c>
      <c r="M17" s="132">
        <f t="shared" si="5"/>
        <v>0.20980575869766638</v>
      </c>
      <c r="N17" s="132">
        <f t="shared" si="6"/>
        <v>-5000000</v>
      </c>
      <c r="O17" s="134">
        <v>23539038.609999999</v>
      </c>
      <c r="P17" s="132">
        <f t="shared" si="7"/>
        <v>0.23570516776610156</v>
      </c>
      <c r="Q17" s="132">
        <f t="shared" si="8"/>
        <v>112.09066004761905</v>
      </c>
      <c r="R17" s="132">
        <f t="shared" si="9"/>
        <v>2539038.6099999994</v>
      </c>
      <c r="S17" s="132">
        <f t="shared" si="10"/>
        <v>-1284699.870000001</v>
      </c>
      <c r="T17" s="136">
        <v>23539038.609999999</v>
      </c>
      <c r="U17" s="141">
        <f t="shared" si="11"/>
        <v>0</v>
      </c>
    </row>
    <row r="18" spans="1:21" s="112" customFormat="1" x14ac:dyDescent="0.2">
      <c r="A18" s="115" t="s">
        <v>10</v>
      </c>
      <c r="B18" s="131">
        <f>B19+B21</f>
        <v>90000000</v>
      </c>
      <c r="C18" s="131">
        <f>C19+C21</f>
        <v>109032000</v>
      </c>
      <c r="D18" s="132">
        <f t="shared" si="0"/>
        <v>1.3922853177054058</v>
      </c>
      <c r="E18" s="132">
        <f t="shared" si="12"/>
        <v>19032000</v>
      </c>
      <c r="F18" s="131">
        <f>F19+F21</f>
        <v>120906835.81</v>
      </c>
      <c r="G18" s="132">
        <f t="shared" si="1"/>
        <v>1.4784817747867374</v>
      </c>
      <c r="H18" s="132">
        <f t="shared" si="3"/>
        <v>110.89114737875119</v>
      </c>
      <c r="I18" s="131">
        <f>I19+I21+I20</f>
        <v>164387700</v>
      </c>
      <c r="J18" s="131">
        <f>J19+J21+J20</f>
        <v>161387700</v>
      </c>
      <c r="K18" s="131">
        <f>K19+K21+K20</f>
        <v>161387700</v>
      </c>
      <c r="L18" s="131">
        <f t="shared" si="4"/>
        <v>0</v>
      </c>
      <c r="M18" s="132">
        <f t="shared" si="5"/>
        <v>1.6123842306176843</v>
      </c>
      <c r="N18" s="132">
        <f t="shared" si="6"/>
        <v>-3000000</v>
      </c>
      <c r="O18" s="131">
        <f>O19+O21+O20</f>
        <v>186634975.69</v>
      </c>
      <c r="P18" s="132">
        <f t="shared" si="7"/>
        <v>1.8688455796722847</v>
      </c>
      <c r="Q18" s="132">
        <f t="shared" si="8"/>
        <v>115.64386610008073</v>
      </c>
      <c r="R18" s="132">
        <f t="shared" si="9"/>
        <v>25247275.689999998</v>
      </c>
      <c r="S18" s="132">
        <f t="shared" si="10"/>
        <v>65728139.879999995</v>
      </c>
      <c r="T18" s="131">
        <f>T19+T21+T20</f>
        <v>186634975.69</v>
      </c>
      <c r="U18" s="141">
        <f t="shared" si="11"/>
        <v>0</v>
      </c>
    </row>
    <row r="19" spans="1:21" s="112" customFormat="1" ht="16.5" customHeight="1" x14ac:dyDescent="0.2">
      <c r="A19" s="116" t="s">
        <v>183</v>
      </c>
      <c r="B19" s="131">
        <v>30000000</v>
      </c>
      <c r="C19" s="131">
        <v>49032000</v>
      </c>
      <c r="D19" s="132">
        <f t="shared" si="0"/>
        <v>0.6261146608127105</v>
      </c>
      <c r="E19" s="132">
        <f t="shared" si="12"/>
        <v>19032000</v>
      </c>
      <c r="F19" s="131">
        <v>58185962.57</v>
      </c>
      <c r="G19" s="132">
        <f t="shared" si="1"/>
        <v>0.71151382493671333</v>
      </c>
      <c r="H19" s="132">
        <f t="shared" si="3"/>
        <v>118.66936402757382</v>
      </c>
      <c r="I19" s="131">
        <v>51000000</v>
      </c>
      <c r="J19" s="131">
        <v>51000000</v>
      </c>
      <c r="K19" s="131">
        <v>51000000</v>
      </c>
      <c r="L19" s="131">
        <f t="shared" si="4"/>
        <v>0</v>
      </c>
      <c r="M19" s="132">
        <f t="shared" si="5"/>
        <v>0.50952827112290411</v>
      </c>
      <c r="N19" s="132">
        <f t="shared" si="6"/>
        <v>0</v>
      </c>
      <c r="O19" s="131">
        <v>69419037.340000004</v>
      </c>
      <c r="P19" s="132">
        <f t="shared" si="7"/>
        <v>0.69511869679481231</v>
      </c>
      <c r="Q19" s="132">
        <f t="shared" si="8"/>
        <v>136.11575949019607</v>
      </c>
      <c r="R19" s="132">
        <f t="shared" si="9"/>
        <v>18419037.340000004</v>
      </c>
      <c r="S19" s="132">
        <f t="shared" si="10"/>
        <v>11233074.770000003</v>
      </c>
      <c r="T19" s="131">
        <v>69419037.340000004</v>
      </c>
      <c r="U19" s="141">
        <f t="shared" si="11"/>
        <v>0</v>
      </c>
    </row>
    <row r="20" spans="1:21" s="112" customFormat="1" x14ac:dyDescent="0.2">
      <c r="A20" s="116" t="s">
        <v>15</v>
      </c>
      <c r="B20" s="131"/>
      <c r="C20" s="131"/>
      <c r="D20" s="132"/>
      <c r="E20" s="132"/>
      <c r="F20" s="131"/>
      <c r="G20" s="132"/>
      <c r="H20" s="132"/>
      <c r="I20" s="131">
        <v>44943000</v>
      </c>
      <c r="J20" s="131">
        <v>44943000</v>
      </c>
      <c r="K20" s="131">
        <v>44943000</v>
      </c>
      <c r="L20" s="131">
        <f t="shared" si="4"/>
        <v>0</v>
      </c>
      <c r="M20" s="132">
        <f t="shared" si="5"/>
        <v>0.44901429586424857</v>
      </c>
      <c r="N20" s="132">
        <f t="shared" si="6"/>
        <v>0</v>
      </c>
      <c r="O20" s="131">
        <v>56497476.579999998</v>
      </c>
      <c r="P20" s="132">
        <f t="shared" si="7"/>
        <v>0.56573029240000439</v>
      </c>
      <c r="Q20" s="132">
        <f t="shared" si="8"/>
        <v>125.70917958302739</v>
      </c>
      <c r="R20" s="132">
        <f t="shared" si="9"/>
        <v>11554476.579999998</v>
      </c>
      <c r="S20" s="132">
        <f t="shared" si="10"/>
        <v>56497476.579999998</v>
      </c>
      <c r="T20" s="131">
        <f>23809134.95+32688341.63</f>
        <v>56497476.579999998</v>
      </c>
      <c r="U20" s="141">
        <f t="shared" si="11"/>
        <v>0</v>
      </c>
    </row>
    <row r="21" spans="1:21" s="112" customFormat="1" x14ac:dyDescent="0.2">
      <c r="A21" s="116" t="s">
        <v>12</v>
      </c>
      <c r="B21" s="131">
        <v>60000000</v>
      </c>
      <c r="C21" s="131">
        <v>60000000</v>
      </c>
      <c r="D21" s="132">
        <f t="shared" ref="D21:D58" si="13">C21/C$94*100</f>
        <v>0.76617065689269526</v>
      </c>
      <c r="E21" s="132">
        <f t="shared" si="12"/>
        <v>0</v>
      </c>
      <c r="F21" s="131">
        <v>62720873.240000002</v>
      </c>
      <c r="G21" s="132">
        <f t="shared" ref="G21:G42" si="14">F21/F$94*100</f>
        <v>0.76696794985002426</v>
      </c>
      <c r="H21" s="132">
        <f t="shared" si="3"/>
        <v>104.53478873333333</v>
      </c>
      <c r="I21" s="131">
        <v>68444700</v>
      </c>
      <c r="J21" s="131">
        <v>65444700</v>
      </c>
      <c r="K21" s="131">
        <v>65444700</v>
      </c>
      <c r="L21" s="131">
        <f t="shared" si="4"/>
        <v>0</v>
      </c>
      <c r="M21" s="132">
        <f t="shared" si="5"/>
        <v>0.65384166363053176</v>
      </c>
      <c r="N21" s="132">
        <f t="shared" si="6"/>
        <v>-3000000</v>
      </c>
      <c r="O21" s="131">
        <v>60718461.770000003</v>
      </c>
      <c r="P21" s="132">
        <f t="shared" si="7"/>
        <v>0.6079965904774679</v>
      </c>
      <c r="Q21" s="132">
        <f t="shared" si="8"/>
        <v>92.778271991467605</v>
      </c>
      <c r="R21" s="132">
        <f t="shared" si="9"/>
        <v>-4726238.2299999967</v>
      </c>
      <c r="S21" s="132">
        <f t="shared" si="10"/>
        <v>-2002411.4699999988</v>
      </c>
      <c r="T21" s="131">
        <f>49436134.49+11282327.28</f>
        <v>60718461.770000003</v>
      </c>
      <c r="U21" s="141">
        <f t="shared" si="11"/>
        <v>0</v>
      </c>
    </row>
    <row r="22" spans="1:21" s="112" customFormat="1" x14ac:dyDescent="0.2">
      <c r="A22" s="115" t="s">
        <v>18</v>
      </c>
      <c r="B22" s="131">
        <f>B23+B24</f>
        <v>21825000</v>
      </c>
      <c r="C22" s="131">
        <f>C23+C24</f>
        <v>22186000</v>
      </c>
      <c r="D22" s="132">
        <f t="shared" si="13"/>
        <v>0.28330436989702229</v>
      </c>
      <c r="E22" s="132">
        <f t="shared" si="12"/>
        <v>361000</v>
      </c>
      <c r="F22" s="131">
        <f>F23+F24</f>
        <v>21971749.68</v>
      </c>
      <c r="G22" s="132">
        <f t="shared" si="14"/>
        <v>0.26867654954683351</v>
      </c>
      <c r="H22" s="132">
        <f t="shared" si="3"/>
        <v>99.034299468133057</v>
      </c>
      <c r="I22" s="131">
        <f>I23+I24</f>
        <v>21815000</v>
      </c>
      <c r="J22" s="131">
        <f>J23+J24</f>
        <v>21825000</v>
      </c>
      <c r="K22" s="131">
        <f>K23+K24</f>
        <v>21825000</v>
      </c>
      <c r="L22" s="131">
        <f t="shared" si="4"/>
        <v>0</v>
      </c>
      <c r="M22" s="132">
        <f t="shared" si="5"/>
        <v>0.21804812778936042</v>
      </c>
      <c r="N22" s="132">
        <f t="shared" si="6"/>
        <v>10000</v>
      </c>
      <c r="O22" s="131">
        <f>O23+O24</f>
        <v>26436753.25</v>
      </c>
      <c r="P22" s="132">
        <f t="shared" si="7"/>
        <v>0.26472106457801853</v>
      </c>
      <c r="Q22" s="132">
        <f t="shared" si="8"/>
        <v>121.1305990836197</v>
      </c>
      <c r="R22" s="132">
        <f t="shared" si="9"/>
        <v>4611753.25</v>
      </c>
      <c r="S22" s="132">
        <f t="shared" si="10"/>
        <v>4465003.57</v>
      </c>
      <c r="T22" s="131">
        <v>26436753.25</v>
      </c>
      <c r="U22" s="141">
        <f t="shared" si="11"/>
        <v>0</v>
      </c>
    </row>
    <row r="23" spans="1:21" s="112" customFormat="1" ht="45" x14ac:dyDescent="0.2">
      <c r="A23" s="116" t="s">
        <v>216</v>
      </c>
      <c r="B23" s="131">
        <v>21700000</v>
      </c>
      <c r="C23" s="131">
        <v>22071000</v>
      </c>
      <c r="D23" s="132">
        <f t="shared" si="13"/>
        <v>0.28183587613797795</v>
      </c>
      <c r="E23" s="135">
        <f>C23-B23</f>
        <v>371000</v>
      </c>
      <c r="F23" s="131">
        <v>21866149.68</v>
      </c>
      <c r="G23" s="132">
        <f t="shared" si="14"/>
        <v>0.26738524393643093</v>
      </c>
      <c r="H23" s="132">
        <f t="shared" si="3"/>
        <v>99.071857550632046</v>
      </c>
      <c r="I23" s="131">
        <v>21700000</v>
      </c>
      <c r="J23" s="131">
        <v>21700000</v>
      </c>
      <c r="K23" s="131">
        <v>21700000</v>
      </c>
      <c r="L23" s="131">
        <f t="shared" si="4"/>
        <v>0</v>
      </c>
      <c r="M23" s="132">
        <f t="shared" si="5"/>
        <v>0.2167992839875886</v>
      </c>
      <c r="N23" s="132">
        <f t="shared" si="6"/>
        <v>0</v>
      </c>
      <c r="O23" s="131">
        <v>26302353.25</v>
      </c>
      <c r="P23" s="132">
        <f t="shared" si="7"/>
        <v>0.26337526728048971</v>
      </c>
      <c r="Q23" s="132">
        <f t="shared" si="8"/>
        <v>121.20900115207374</v>
      </c>
      <c r="R23" s="132">
        <f t="shared" si="9"/>
        <v>4602353.25</v>
      </c>
      <c r="S23" s="132">
        <f t="shared" si="10"/>
        <v>4436203.57</v>
      </c>
      <c r="T23" s="131">
        <v>26302353.25</v>
      </c>
      <c r="U23" s="141">
        <f t="shared" si="11"/>
        <v>0</v>
      </c>
    </row>
    <row r="24" spans="1:21" s="112" customFormat="1" ht="60" x14ac:dyDescent="0.2">
      <c r="A24" s="116" t="s">
        <v>195</v>
      </c>
      <c r="B24" s="131">
        <v>125000</v>
      </c>
      <c r="C24" s="131">
        <v>115000</v>
      </c>
      <c r="D24" s="132">
        <f t="shared" si="13"/>
        <v>1.4684937590443326E-3</v>
      </c>
      <c r="E24" s="132">
        <f t="shared" ref="E24:E93" si="15">C24-B24</f>
        <v>-10000</v>
      </c>
      <c r="F24" s="131">
        <v>105600</v>
      </c>
      <c r="G24" s="132">
        <f t="shared" si="14"/>
        <v>1.2913056104026041E-3</v>
      </c>
      <c r="H24" s="132">
        <f t="shared" si="3"/>
        <v>91.826086956521735</v>
      </c>
      <c r="I24" s="131">
        <v>115000</v>
      </c>
      <c r="J24" s="131">
        <v>125000</v>
      </c>
      <c r="K24" s="131">
        <v>125000</v>
      </c>
      <c r="L24" s="131">
        <f t="shared" si="4"/>
        <v>0</v>
      </c>
      <c r="M24" s="132">
        <f t="shared" si="5"/>
        <v>1.2488438017718235E-3</v>
      </c>
      <c r="N24" s="132">
        <f t="shared" si="6"/>
        <v>10000</v>
      </c>
      <c r="O24" s="131">
        <v>134400</v>
      </c>
      <c r="P24" s="132">
        <f t="shared" si="7"/>
        <v>1.3457972975287988E-3</v>
      </c>
      <c r="Q24" s="132">
        <f t="shared" si="8"/>
        <v>107.52</v>
      </c>
      <c r="R24" s="132">
        <f t="shared" si="9"/>
        <v>9400</v>
      </c>
      <c r="S24" s="132">
        <f t="shared" si="10"/>
        <v>28800</v>
      </c>
      <c r="T24" s="131">
        <v>134400</v>
      </c>
      <c r="U24" s="141">
        <f t="shared" si="11"/>
        <v>0</v>
      </c>
    </row>
    <row r="25" spans="1:21" s="80" customFormat="1" ht="20.25" customHeight="1" x14ac:dyDescent="0.2">
      <c r="A25" s="85" t="s">
        <v>20</v>
      </c>
      <c r="B25" s="107">
        <f>B26+B31+B33+B36+B40+B81+B93</f>
        <v>373566400</v>
      </c>
      <c r="C25" s="107">
        <f>C26+C31+C33+C36+C40+C81</f>
        <v>529252771</v>
      </c>
      <c r="D25" s="130">
        <f t="shared" si="13"/>
        <v>6.7582990536558194</v>
      </c>
      <c r="E25" s="130">
        <f t="shared" si="15"/>
        <v>155686371</v>
      </c>
      <c r="F25" s="107">
        <f>F26+F31+F33+F36+F40+F81</f>
        <v>564533902.24000013</v>
      </c>
      <c r="G25" s="130">
        <f t="shared" si="14"/>
        <v>6.9032745759941987</v>
      </c>
      <c r="H25" s="130">
        <f t="shared" si="3"/>
        <v>106.66621568619054</v>
      </c>
      <c r="I25" s="107">
        <f>I26+I31+I33+I36+I40+I81+I93</f>
        <v>389331174</v>
      </c>
      <c r="J25" s="107">
        <f>J26+J31+J33+J36+J40+J81</f>
        <v>440136287</v>
      </c>
      <c r="K25" s="107">
        <f>K26+K31+K33+K36+K40+K81</f>
        <v>440136287</v>
      </c>
      <c r="L25" s="140">
        <f t="shared" si="4"/>
        <v>0</v>
      </c>
      <c r="M25" s="130">
        <f t="shared" si="5"/>
        <v>4.3972917916385157</v>
      </c>
      <c r="N25" s="130">
        <f t="shared" si="6"/>
        <v>50805113</v>
      </c>
      <c r="O25" s="107">
        <f>O26+O31+O33+O36+O40+O81</f>
        <v>486805166.51000011</v>
      </c>
      <c r="P25" s="130">
        <f t="shared" si="7"/>
        <v>4.8745615886325524</v>
      </c>
      <c r="Q25" s="130">
        <f t="shared" si="8"/>
        <v>110.60327923155313</v>
      </c>
      <c r="R25" s="130">
        <f t="shared" si="9"/>
        <v>46668879.51000011</v>
      </c>
      <c r="S25" s="130">
        <f t="shared" si="10"/>
        <v>-77728735.730000019</v>
      </c>
      <c r="T25" s="107">
        <f>T26+T31+T33+T36+T40+T81</f>
        <v>486805166.51000011</v>
      </c>
      <c r="U25" s="141">
        <f t="shared" si="11"/>
        <v>0</v>
      </c>
    </row>
    <row r="26" spans="1:21" s="112" customFormat="1" ht="45" x14ac:dyDescent="0.2">
      <c r="A26" s="115" t="s">
        <v>21</v>
      </c>
      <c r="B26" s="136">
        <f>B27+B28+B29+B30</f>
        <v>314427100</v>
      </c>
      <c r="C26" s="136">
        <f>C27+C28+C29+C30</f>
        <v>387256589</v>
      </c>
      <c r="D26" s="132">
        <f t="shared" si="13"/>
        <v>4.9450772530025748</v>
      </c>
      <c r="E26" s="132">
        <f t="shared" si="15"/>
        <v>72829489</v>
      </c>
      <c r="F26" s="136">
        <f>F27+F28+F29+F30</f>
        <v>408325166.48000002</v>
      </c>
      <c r="G26" s="132">
        <f t="shared" si="14"/>
        <v>4.9931115373503916</v>
      </c>
      <c r="H26" s="132">
        <f t="shared" si="3"/>
        <v>105.44046972432535</v>
      </c>
      <c r="I26" s="136">
        <f>I27+I28+I29+I30</f>
        <v>334148468</v>
      </c>
      <c r="J26" s="136">
        <f>J27+J28+J29+J30</f>
        <v>362819102</v>
      </c>
      <c r="K26" s="136">
        <f>K27+K28+K29+K30</f>
        <v>362819102</v>
      </c>
      <c r="L26" s="131">
        <f t="shared" si="4"/>
        <v>0</v>
      </c>
      <c r="M26" s="132">
        <f t="shared" si="5"/>
        <v>3.6248350935769524</v>
      </c>
      <c r="N26" s="132">
        <f t="shared" si="6"/>
        <v>28670634</v>
      </c>
      <c r="O26" s="136">
        <f>O27+O28+O29+O30</f>
        <v>395277914.14000005</v>
      </c>
      <c r="P26" s="132">
        <f t="shared" si="7"/>
        <v>3.9580650939169093</v>
      </c>
      <c r="Q26" s="132">
        <f t="shared" si="8"/>
        <v>108.94627982955541</v>
      </c>
      <c r="R26" s="132">
        <f t="shared" si="9"/>
        <v>32458812.140000045</v>
      </c>
      <c r="S26" s="132">
        <f t="shared" si="10"/>
        <v>-13047252.339999974</v>
      </c>
      <c r="T26" s="136">
        <v>395277914.14000005</v>
      </c>
      <c r="U26" s="141">
        <f t="shared" si="11"/>
        <v>0</v>
      </c>
    </row>
    <row r="27" spans="1:21" s="112" customFormat="1" ht="115.5" customHeight="1" x14ac:dyDescent="0.2">
      <c r="A27" s="115" t="s">
        <v>196</v>
      </c>
      <c r="B27" s="131">
        <v>14024800</v>
      </c>
      <c r="C27" s="131">
        <v>4315794</v>
      </c>
      <c r="D27" s="132">
        <f t="shared" si="13"/>
        <v>5.5110578733225883E-2</v>
      </c>
      <c r="E27" s="132">
        <f t="shared" si="15"/>
        <v>-9709006</v>
      </c>
      <c r="F27" s="131">
        <v>4315794.43</v>
      </c>
      <c r="G27" s="132">
        <f t="shared" si="14"/>
        <v>5.2774711750031324E-2</v>
      </c>
      <c r="H27" s="132">
        <f t="shared" si="3"/>
        <v>100.00000996340417</v>
      </c>
      <c r="I27" s="131">
        <v>2666900</v>
      </c>
      <c r="J27" s="131">
        <v>2541410</v>
      </c>
      <c r="K27" s="131">
        <v>2541410</v>
      </c>
      <c r="L27" s="131">
        <f t="shared" si="4"/>
        <v>0</v>
      </c>
      <c r="M27" s="132">
        <f t="shared" si="5"/>
        <v>2.5390593010087444E-2</v>
      </c>
      <c r="N27" s="132">
        <f t="shared" si="6"/>
        <v>-125490</v>
      </c>
      <c r="O27" s="131">
        <v>2537106.29</v>
      </c>
      <c r="P27" s="132">
        <f t="shared" si="7"/>
        <v>2.5404990986795512E-2</v>
      </c>
      <c r="Q27" s="132">
        <f>O27/K27*100</f>
        <v>99.830656604011153</v>
      </c>
      <c r="R27" s="132">
        <f t="shared" si="9"/>
        <v>-4303.7099999999627</v>
      </c>
      <c r="S27" s="132">
        <f t="shared" si="10"/>
        <v>-1778688.1399999997</v>
      </c>
      <c r="T27" s="131">
        <v>2537106.29</v>
      </c>
      <c r="U27" s="141">
        <f t="shared" si="11"/>
        <v>0</v>
      </c>
    </row>
    <row r="28" spans="1:21" s="112" customFormat="1" ht="135" x14ac:dyDescent="0.2">
      <c r="A28" s="115" t="s">
        <v>197</v>
      </c>
      <c r="B28" s="131">
        <v>297087500</v>
      </c>
      <c r="C28" s="131">
        <v>378598545</v>
      </c>
      <c r="D28" s="132">
        <f t="shared" si="13"/>
        <v>4.8345182653544772</v>
      </c>
      <c r="E28" s="132">
        <f t="shared" si="15"/>
        <v>81511045</v>
      </c>
      <c r="F28" s="131">
        <v>399810043.12</v>
      </c>
      <c r="G28" s="132">
        <f t="shared" si="14"/>
        <v>4.8889862857591195</v>
      </c>
      <c r="H28" s="132">
        <f t="shared" si="3"/>
        <v>105.60263593194739</v>
      </c>
      <c r="I28" s="131">
        <v>327711568</v>
      </c>
      <c r="J28" s="131">
        <v>356777192</v>
      </c>
      <c r="K28" s="131">
        <v>356777192</v>
      </c>
      <c r="L28" s="131">
        <f t="shared" si="4"/>
        <v>0</v>
      </c>
      <c r="M28" s="132">
        <f t="shared" si="5"/>
        <v>3.5644718787420469</v>
      </c>
      <c r="N28" s="132">
        <f t="shared" si="6"/>
        <v>29065624</v>
      </c>
      <c r="O28" s="131">
        <v>388684633.24000001</v>
      </c>
      <c r="P28" s="132">
        <f t="shared" si="7"/>
        <v>3.8920441146232463</v>
      </c>
      <c r="Q28" s="132">
        <f t="shared" si="8"/>
        <v>108.9432401945694</v>
      </c>
      <c r="R28" s="132">
        <f t="shared" si="9"/>
        <v>31907441.24000001</v>
      </c>
      <c r="S28" s="132">
        <f t="shared" si="10"/>
        <v>-11125409.879999995</v>
      </c>
      <c r="T28" s="131">
        <f>17740.8+47093350.24+341064870.65+508671.55</f>
        <v>388684633.24000001</v>
      </c>
      <c r="U28" s="141">
        <f t="shared" si="11"/>
        <v>0</v>
      </c>
    </row>
    <row r="29" spans="1:21" s="112" customFormat="1" ht="36" customHeight="1" x14ac:dyDescent="0.2">
      <c r="A29" s="117" t="s">
        <v>165</v>
      </c>
      <c r="B29" s="131">
        <v>314800</v>
      </c>
      <c r="C29" s="131">
        <v>42250</v>
      </c>
      <c r="D29" s="132">
        <f t="shared" si="13"/>
        <v>5.3951183756193962E-4</v>
      </c>
      <c r="E29" s="132">
        <f t="shared" si="15"/>
        <v>-272550</v>
      </c>
      <c r="F29" s="131">
        <v>42250</v>
      </c>
      <c r="G29" s="132">
        <f t="shared" si="14"/>
        <v>5.1664452688929947E-4</v>
      </c>
      <c r="H29" s="132">
        <f t="shared" si="3"/>
        <v>100</v>
      </c>
      <c r="I29" s="131">
        <v>770000</v>
      </c>
      <c r="J29" s="131">
        <v>100500</v>
      </c>
      <c r="K29" s="131">
        <v>100500</v>
      </c>
      <c r="L29" s="131">
        <f t="shared" si="4"/>
        <v>0</v>
      </c>
      <c r="M29" s="132">
        <f t="shared" si="5"/>
        <v>1.0040704166245462E-3</v>
      </c>
      <c r="N29" s="132">
        <f t="shared" si="6"/>
        <v>-669500</v>
      </c>
      <c r="O29" s="131">
        <v>100500</v>
      </c>
      <c r="P29" s="132">
        <f t="shared" si="7"/>
        <v>1.0063439613217581E-3</v>
      </c>
      <c r="Q29" s="132">
        <f t="shared" si="8"/>
        <v>100</v>
      </c>
      <c r="R29" s="132">
        <f t="shared" si="9"/>
        <v>0</v>
      </c>
      <c r="S29" s="132">
        <f t="shared" si="10"/>
        <v>58250</v>
      </c>
      <c r="T29" s="131">
        <v>100500</v>
      </c>
      <c r="U29" s="141">
        <f t="shared" si="11"/>
        <v>0</v>
      </c>
    </row>
    <row r="30" spans="1:21" s="112" customFormat="1" ht="119.25" customHeight="1" x14ac:dyDescent="0.2">
      <c r="A30" s="115" t="s">
        <v>198</v>
      </c>
      <c r="B30" s="131">
        <v>3000000</v>
      </c>
      <c r="C30" s="131">
        <v>4300000</v>
      </c>
      <c r="D30" s="132">
        <f t="shared" si="13"/>
        <v>5.490889707730983E-2</v>
      </c>
      <c r="E30" s="132">
        <f t="shared" si="15"/>
        <v>1300000</v>
      </c>
      <c r="F30" s="131">
        <v>4157078.93</v>
      </c>
      <c r="G30" s="132">
        <f t="shared" si="14"/>
        <v>5.083389531435089E-2</v>
      </c>
      <c r="H30" s="132">
        <f t="shared" si="3"/>
        <v>96.676254186046521</v>
      </c>
      <c r="I30" s="131">
        <v>3000000</v>
      </c>
      <c r="J30" s="131">
        <v>3400000</v>
      </c>
      <c r="K30" s="131">
        <v>3400000</v>
      </c>
      <c r="L30" s="131">
        <f t="shared" si="4"/>
        <v>0</v>
      </c>
      <c r="M30" s="132">
        <f t="shared" si="5"/>
        <v>3.3968551408193604E-2</v>
      </c>
      <c r="N30" s="132">
        <f t="shared" si="6"/>
        <v>400000</v>
      </c>
      <c r="O30" s="131">
        <v>3955674.61</v>
      </c>
      <c r="P30" s="132">
        <f t="shared" si="7"/>
        <v>3.9609644345545279E-2</v>
      </c>
      <c r="Q30" s="132">
        <f t="shared" si="8"/>
        <v>116.34337088235294</v>
      </c>
      <c r="R30" s="132">
        <f t="shared" si="9"/>
        <v>555674.60999999987</v>
      </c>
      <c r="S30" s="132">
        <f t="shared" si="10"/>
        <v>-201404.3200000003</v>
      </c>
      <c r="T30" s="131">
        <v>3955674.61</v>
      </c>
      <c r="U30" s="141">
        <f t="shared" si="11"/>
        <v>0</v>
      </c>
    </row>
    <row r="31" spans="1:21" s="112" customFormat="1" ht="30" x14ac:dyDescent="0.2">
      <c r="A31" s="115" t="s">
        <v>26</v>
      </c>
      <c r="B31" s="131">
        <f>B32</f>
        <v>7807500</v>
      </c>
      <c r="C31" s="131">
        <f>C32</f>
        <v>7807500</v>
      </c>
      <c r="D31" s="132">
        <f t="shared" si="13"/>
        <v>9.9697956728161979E-2</v>
      </c>
      <c r="E31" s="132">
        <f t="shared" si="15"/>
        <v>0</v>
      </c>
      <c r="F31" s="131">
        <f>F32</f>
        <v>9591942.2300000004</v>
      </c>
      <c r="G31" s="132">
        <f t="shared" si="14"/>
        <v>0.11729288651758207</v>
      </c>
      <c r="H31" s="132">
        <f t="shared" si="3"/>
        <v>122.85548805635607</v>
      </c>
      <c r="I31" s="131">
        <f>I32</f>
        <v>13821206</v>
      </c>
      <c r="J31" s="131">
        <f>J32</f>
        <v>13821206</v>
      </c>
      <c r="K31" s="131">
        <f>K32</f>
        <v>13821206</v>
      </c>
      <c r="L31" s="131">
        <f t="shared" si="4"/>
        <v>0</v>
      </c>
      <c r="M31" s="132">
        <f t="shared" si="5"/>
        <v>0.1380842195688923</v>
      </c>
      <c r="N31" s="132">
        <f t="shared" si="6"/>
        <v>0</v>
      </c>
      <c r="O31" s="131">
        <f>O32</f>
        <v>14531145.5</v>
      </c>
      <c r="P31" s="132">
        <f t="shared" si="7"/>
        <v>0.14550577636828696</v>
      </c>
      <c r="Q31" s="132">
        <f t="shared" si="8"/>
        <v>105.13659589474319</v>
      </c>
      <c r="R31" s="132">
        <f t="shared" si="9"/>
        <v>709939.5</v>
      </c>
      <c r="S31" s="132">
        <f t="shared" si="10"/>
        <v>4939203.2699999996</v>
      </c>
      <c r="T31" s="131">
        <f>T32</f>
        <v>14531145.5</v>
      </c>
      <c r="U31" s="141">
        <f t="shared" si="11"/>
        <v>0</v>
      </c>
    </row>
    <row r="32" spans="1:21" s="112" customFormat="1" ht="30" x14ac:dyDescent="0.2">
      <c r="A32" s="115" t="s">
        <v>27</v>
      </c>
      <c r="B32" s="131">
        <v>7807500</v>
      </c>
      <c r="C32" s="131">
        <v>7807500</v>
      </c>
      <c r="D32" s="132">
        <f t="shared" si="13"/>
        <v>9.9697956728161979E-2</v>
      </c>
      <c r="E32" s="132">
        <f t="shared" si="15"/>
        <v>0</v>
      </c>
      <c r="F32" s="131">
        <v>9591942.2300000004</v>
      </c>
      <c r="G32" s="132">
        <f t="shared" si="14"/>
        <v>0.11729288651758207</v>
      </c>
      <c r="H32" s="132">
        <f t="shared" si="3"/>
        <v>122.85548805635607</v>
      </c>
      <c r="I32" s="131">
        <v>13821206</v>
      </c>
      <c r="J32" s="131">
        <v>13821206</v>
      </c>
      <c r="K32" s="131">
        <v>13821206</v>
      </c>
      <c r="L32" s="131">
        <f t="shared" si="4"/>
        <v>0</v>
      </c>
      <c r="M32" s="132">
        <f t="shared" si="5"/>
        <v>0.1380842195688923</v>
      </c>
      <c r="N32" s="132">
        <f t="shared" si="6"/>
        <v>0</v>
      </c>
      <c r="O32" s="131">
        <v>14531145.5</v>
      </c>
      <c r="P32" s="132">
        <f t="shared" si="7"/>
        <v>0.14550577636828696</v>
      </c>
      <c r="Q32" s="132">
        <f t="shared" si="8"/>
        <v>105.13659589474319</v>
      </c>
      <c r="R32" s="132">
        <f t="shared" si="9"/>
        <v>709939.5</v>
      </c>
      <c r="S32" s="132">
        <f t="shared" si="10"/>
        <v>4939203.2699999996</v>
      </c>
      <c r="T32" s="131">
        <v>14531145.5</v>
      </c>
      <c r="U32" s="141">
        <f t="shared" si="11"/>
        <v>0</v>
      </c>
    </row>
    <row r="33" spans="1:21" s="112" customFormat="1" ht="45" x14ac:dyDescent="0.2">
      <c r="A33" s="115" t="s">
        <v>162</v>
      </c>
      <c r="B33" s="131">
        <f>B34+B35</f>
        <v>3149800</v>
      </c>
      <c r="C33" s="131">
        <f>C34+C35</f>
        <v>50709286</v>
      </c>
      <c r="D33" s="132">
        <f t="shared" si="13"/>
        <v>0.64753278275299253</v>
      </c>
      <c r="E33" s="132">
        <f t="shared" si="15"/>
        <v>47559486</v>
      </c>
      <c r="F33" s="131">
        <f>F34+F35</f>
        <v>49593464.259999998</v>
      </c>
      <c r="G33" s="132">
        <f t="shared" si="14"/>
        <v>0.60644241134696053</v>
      </c>
      <c r="H33" s="132">
        <f>F33/C33*100</f>
        <v>97.799571187020845</v>
      </c>
      <c r="I33" s="131">
        <f>I34+I35</f>
        <v>8464700</v>
      </c>
      <c r="J33" s="131">
        <f>J34+J35</f>
        <v>12986750</v>
      </c>
      <c r="K33" s="131">
        <f>K34+K35</f>
        <v>12986750</v>
      </c>
      <c r="L33" s="131">
        <f t="shared" si="4"/>
        <v>0</v>
      </c>
      <c r="M33" s="132">
        <f t="shared" si="5"/>
        <v>0.12974737794128186</v>
      </c>
      <c r="N33" s="132">
        <f t="shared" si="6"/>
        <v>4522050</v>
      </c>
      <c r="O33" s="131">
        <f>O34+O35</f>
        <v>14459331.189999999</v>
      </c>
      <c r="P33" s="132">
        <f t="shared" si="7"/>
        <v>0.14478667291351094</v>
      </c>
      <c r="Q33" s="132">
        <f t="shared" si="8"/>
        <v>111.33910477987179</v>
      </c>
      <c r="R33" s="132">
        <f t="shared" si="9"/>
        <v>1472581.1899999995</v>
      </c>
      <c r="S33" s="132">
        <f t="shared" si="10"/>
        <v>-35134133.07</v>
      </c>
      <c r="T33" s="131">
        <v>14459331.189999999</v>
      </c>
      <c r="U33" s="141">
        <f t="shared" si="11"/>
        <v>0</v>
      </c>
    </row>
    <row r="34" spans="1:21" s="112" customFormat="1" ht="30" x14ac:dyDescent="0.2">
      <c r="A34" s="115" t="s">
        <v>167</v>
      </c>
      <c r="B34" s="131">
        <v>415400</v>
      </c>
      <c r="C34" s="131">
        <v>1681200</v>
      </c>
      <c r="D34" s="132">
        <f t="shared" si="13"/>
        <v>2.146810180613332E-2</v>
      </c>
      <c r="E34" s="132">
        <f t="shared" si="15"/>
        <v>1265800</v>
      </c>
      <c r="F34" s="131">
        <v>642210</v>
      </c>
      <c r="G34" s="132">
        <f t="shared" si="14"/>
        <v>7.8531190914456084E-3</v>
      </c>
      <c r="H34" s="132">
        <f t="shared" si="3"/>
        <v>38.199500356887938</v>
      </c>
      <c r="I34" s="131">
        <v>5624900</v>
      </c>
      <c r="J34" s="131">
        <v>6467300</v>
      </c>
      <c r="K34" s="131">
        <v>6467300</v>
      </c>
      <c r="L34" s="131">
        <f t="shared" si="4"/>
        <v>0</v>
      </c>
      <c r="M34" s="132">
        <f t="shared" si="5"/>
        <v>6.4613180153591326E-2</v>
      </c>
      <c r="N34" s="132">
        <f t="shared" si="6"/>
        <v>842400</v>
      </c>
      <c r="O34" s="131">
        <v>6908731.0099999998</v>
      </c>
      <c r="P34" s="132">
        <f t="shared" si="7"/>
        <v>6.9179698828953931E-2</v>
      </c>
      <c r="Q34" s="132">
        <f t="shared" si="8"/>
        <v>106.82558424690365</v>
      </c>
      <c r="R34" s="132">
        <f t="shared" si="9"/>
        <v>441431.00999999978</v>
      </c>
      <c r="S34" s="132">
        <f t="shared" si="10"/>
        <v>6266521.0099999998</v>
      </c>
      <c r="T34" s="131">
        <f>111100+6797631.01</f>
        <v>6908731.0099999998</v>
      </c>
      <c r="U34" s="141">
        <f t="shared" si="11"/>
        <v>0</v>
      </c>
    </row>
    <row r="35" spans="1:21" s="112" customFormat="1" ht="30" x14ac:dyDescent="0.25">
      <c r="A35" s="118" t="s">
        <v>168</v>
      </c>
      <c r="B35" s="131">
        <v>2734400</v>
      </c>
      <c r="C35" s="131">
        <v>49028086</v>
      </c>
      <c r="D35" s="132">
        <f t="shared" si="13"/>
        <v>0.6260646809468593</v>
      </c>
      <c r="E35" s="132">
        <f t="shared" si="15"/>
        <v>46293686</v>
      </c>
      <c r="F35" s="131">
        <v>48951254.259999998</v>
      </c>
      <c r="G35" s="132">
        <f t="shared" si="14"/>
        <v>0.59858929225551483</v>
      </c>
      <c r="H35" s="132">
        <f t="shared" si="3"/>
        <v>99.843290354022784</v>
      </c>
      <c r="I35" s="131">
        <v>2839800</v>
      </c>
      <c r="J35" s="131">
        <v>6519450</v>
      </c>
      <c r="K35" s="131">
        <v>6519450</v>
      </c>
      <c r="L35" s="131">
        <f t="shared" si="4"/>
        <v>0</v>
      </c>
      <c r="M35" s="132">
        <f t="shared" si="5"/>
        <v>6.5134197787690529E-2</v>
      </c>
      <c r="N35" s="132">
        <f t="shared" si="6"/>
        <v>3679650</v>
      </c>
      <c r="O35" s="131">
        <v>7550600.1799999997</v>
      </c>
      <c r="P35" s="132">
        <f t="shared" si="7"/>
        <v>7.5606974084557008E-2</v>
      </c>
      <c r="Q35" s="132">
        <f t="shared" si="8"/>
        <v>115.81652102554662</v>
      </c>
      <c r="R35" s="132">
        <f t="shared" si="9"/>
        <v>1031150.1799999997</v>
      </c>
      <c r="S35" s="132">
        <f t="shared" si="10"/>
        <v>-41400654.079999998</v>
      </c>
      <c r="T35" s="131">
        <f>831937.71+1572975.17+124517.77+289886.66+968452.19+1035750.94+2727079.74</f>
        <v>7550600.1799999997</v>
      </c>
      <c r="U35" s="141">
        <f t="shared" si="11"/>
        <v>0</v>
      </c>
    </row>
    <row r="36" spans="1:21" ht="33.75" customHeight="1" x14ac:dyDescent="0.2">
      <c r="A36" s="128" t="s">
        <v>28</v>
      </c>
      <c r="B36" s="131">
        <f>B37+B38+B39</f>
        <v>22244300</v>
      </c>
      <c r="C36" s="131">
        <f>C37+C38+C39</f>
        <v>37072140</v>
      </c>
      <c r="D36" s="132">
        <f t="shared" si="13"/>
        <v>0.47339309760363274</v>
      </c>
      <c r="E36" s="132">
        <f t="shared" si="15"/>
        <v>14827840</v>
      </c>
      <c r="F36" s="131">
        <f>F37+F38+F39</f>
        <v>45797340.170000002</v>
      </c>
      <c r="G36" s="132">
        <f t="shared" si="14"/>
        <v>0.56002237029391622</v>
      </c>
      <c r="H36" s="132">
        <f t="shared" si="3"/>
        <v>123.53573376125577</v>
      </c>
      <c r="I36" s="131">
        <f>I37+I38+I39</f>
        <v>20882100</v>
      </c>
      <c r="J36" s="131">
        <f>J37+J38+J39</f>
        <v>28953050</v>
      </c>
      <c r="K36" s="131">
        <f>K37+K38+K39</f>
        <v>28953050</v>
      </c>
      <c r="L36" s="131">
        <f t="shared" si="4"/>
        <v>0</v>
      </c>
      <c r="M36" s="132">
        <f t="shared" si="5"/>
        <v>0.2892626962791176</v>
      </c>
      <c r="N36" s="132">
        <f t="shared" si="6"/>
        <v>8070950</v>
      </c>
      <c r="O36" s="131">
        <f>O37+O38+O39</f>
        <v>38763464.100000001</v>
      </c>
      <c r="P36" s="132">
        <f t="shared" si="7"/>
        <v>0.38815301509400751</v>
      </c>
      <c r="Q36" s="132">
        <f t="shared" si="8"/>
        <v>133.88387095660045</v>
      </c>
      <c r="R36" s="132">
        <f t="shared" si="9"/>
        <v>9810414.1000000015</v>
      </c>
      <c r="S36" s="132">
        <f t="shared" si="10"/>
        <v>-7033876.0700000003</v>
      </c>
      <c r="T36" s="131">
        <f>T37+T38+T39</f>
        <v>38763464.100000001</v>
      </c>
      <c r="U36" s="141">
        <f t="shared" si="11"/>
        <v>0</v>
      </c>
    </row>
    <row r="37" spans="1:21" s="112" customFormat="1" x14ac:dyDescent="0.25">
      <c r="A37" s="118" t="s">
        <v>171</v>
      </c>
      <c r="B37" s="131">
        <v>12858900</v>
      </c>
      <c r="C37" s="131">
        <v>15358900</v>
      </c>
      <c r="D37" s="132">
        <f t="shared" si="13"/>
        <v>0.19612564170248692</v>
      </c>
      <c r="E37" s="132">
        <f t="shared" si="15"/>
        <v>2500000</v>
      </c>
      <c r="F37" s="131">
        <v>16001760.48</v>
      </c>
      <c r="G37" s="132">
        <f t="shared" si="14"/>
        <v>0.19567389284226008</v>
      </c>
      <c r="H37" s="132">
        <f t="shared" si="3"/>
        <v>104.18558933256938</v>
      </c>
      <c r="I37" s="131">
        <v>11065100</v>
      </c>
      <c r="J37" s="131">
        <v>20843377</v>
      </c>
      <c r="K37" s="131">
        <v>20843377</v>
      </c>
      <c r="L37" s="131">
        <f t="shared" si="4"/>
        <v>0</v>
      </c>
      <c r="M37" s="132">
        <f t="shared" si="5"/>
        <v>0.20824097739554712</v>
      </c>
      <c r="N37" s="132">
        <f t="shared" si="6"/>
        <v>9778277</v>
      </c>
      <c r="O37" s="131">
        <v>28136804.48</v>
      </c>
      <c r="P37" s="132">
        <f t="shared" si="7"/>
        <v>0.28174431123720384</v>
      </c>
      <c r="Q37" s="132">
        <f t="shared" si="8"/>
        <v>134.99158260199391</v>
      </c>
      <c r="R37" s="132">
        <f t="shared" si="9"/>
        <v>7293427.4800000004</v>
      </c>
      <c r="S37" s="132">
        <f t="shared" si="10"/>
        <v>12135044</v>
      </c>
      <c r="T37" s="131">
        <v>28136804.48</v>
      </c>
      <c r="U37" s="141">
        <f t="shared" si="11"/>
        <v>0</v>
      </c>
    </row>
    <row r="38" spans="1:21" s="112" customFormat="1" ht="117.75" customHeight="1" x14ac:dyDescent="0.2">
      <c r="A38" s="119" t="s">
        <v>199</v>
      </c>
      <c r="B38" s="131">
        <v>1885400</v>
      </c>
      <c r="C38" s="131">
        <v>3681120</v>
      </c>
      <c r="D38" s="132">
        <f t="shared" si="13"/>
        <v>4.700610214168064E-2</v>
      </c>
      <c r="E38" s="132">
        <f t="shared" si="15"/>
        <v>1795720</v>
      </c>
      <c r="F38" s="131">
        <v>3917944.27</v>
      </c>
      <c r="G38" s="132">
        <f t="shared" si="14"/>
        <v>4.7909691449770218E-2</v>
      </c>
      <c r="H38" s="132">
        <f t="shared" si="3"/>
        <v>106.43348410266439</v>
      </c>
      <c r="I38" s="131">
        <v>2317000</v>
      </c>
      <c r="J38" s="131">
        <v>5488706</v>
      </c>
      <c r="K38" s="131">
        <v>5488706</v>
      </c>
      <c r="L38" s="131">
        <f t="shared" si="4"/>
        <v>0</v>
      </c>
      <c r="M38" s="132">
        <f t="shared" si="5"/>
        <v>5.4836291742782546E-2</v>
      </c>
      <c r="N38" s="132">
        <f t="shared" si="6"/>
        <v>3171706</v>
      </c>
      <c r="O38" s="131">
        <v>6298673.3099999996</v>
      </c>
      <c r="P38" s="132">
        <f t="shared" si="7"/>
        <v>6.3070963680169456E-2</v>
      </c>
      <c r="Q38" s="132">
        <f t="shared" si="8"/>
        <v>114.75698115366353</v>
      </c>
      <c r="R38" s="132">
        <f t="shared" si="9"/>
        <v>809967.30999999959</v>
      </c>
      <c r="S38" s="132">
        <f t="shared" si="10"/>
        <v>2380729.0399999996</v>
      </c>
      <c r="T38" s="131">
        <f>5290751.71+551890+456031.6</f>
        <v>6298673.3099999996</v>
      </c>
      <c r="U38" s="141">
        <f t="shared" si="11"/>
        <v>0</v>
      </c>
    </row>
    <row r="39" spans="1:21" s="112" customFormat="1" ht="60" x14ac:dyDescent="0.2">
      <c r="A39" s="117" t="s">
        <v>184</v>
      </c>
      <c r="B39" s="131">
        <v>7500000</v>
      </c>
      <c r="C39" s="131">
        <v>18032120</v>
      </c>
      <c r="D39" s="132">
        <f t="shared" si="13"/>
        <v>0.23026135375946513</v>
      </c>
      <c r="E39" s="132">
        <f t="shared" si="15"/>
        <v>10532120</v>
      </c>
      <c r="F39" s="131">
        <v>25877635.420000002</v>
      </c>
      <c r="G39" s="132">
        <f t="shared" si="14"/>
        <v>0.31643878600188591</v>
      </c>
      <c r="H39" s="132">
        <f t="shared" si="3"/>
        <v>143.50855817286043</v>
      </c>
      <c r="I39" s="131">
        <v>7500000</v>
      </c>
      <c r="J39" s="131">
        <v>2620967</v>
      </c>
      <c r="K39" s="131">
        <v>2620967</v>
      </c>
      <c r="L39" s="131">
        <f t="shared" si="4"/>
        <v>0</v>
      </c>
      <c r="M39" s="132">
        <f t="shared" si="5"/>
        <v>2.6185427140787931E-2</v>
      </c>
      <c r="N39" s="132">
        <f t="shared" si="6"/>
        <v>-4879033</v>
      </c>
      <c r="O39" s="131">
        <v>4327986.3099999996</v>
      </c>
      <c r="P39" s="132">
        <f t="shared" si="7"/>
        <v>4.3337740176634207E-2</v>
      </c>
      <c r="Q39" s="132">
        <f t="shared" si="8"/>
        <v>165.12937057200642</v>
      </c>
      <c r="R39" s="132">
        <f t="shared" si="9"/>
        <v>1707019.3099999996</v>
      </c>
      <c r="S39" s="132">
        <f t="shared" si="10"/>
        <v>-21549649.110000003</v>
      </c>
      <c r="T39" s="131">
        <v>4327986.3099999996</v>
      </c>
      <c r="U39" s="141">
        <f t="shared" si="11"/>
        <v>0</v>
      </c>
    </row>
    <row r="40" spans="1:21" s="106" customFormat="1" ht="28.5" x14ac:dyDescent="0.2">
      <c r="A40" s="120" t="s">
        <v>30</v>
      </c>
      <c r="B40" s="140">
        <f>SUM(B41:B58)</f>
        <v>25937700</v>
      </c>
      <c r="C40" s="140">
        <f>SUM(C41:C58)</f>
        <v>46407256</v>
      </c>
      <c r="D40" s="130">
        <f t="shared" si="13"/>
        <v>0.59259796356845784</v>
      </c>
      <c r="E40" s="130">
        <f t="shared" si="15"/>
        <v>20469556</v>
      </c>
      <c r="F40" s="140">
        <f>SUM(F41:F58)</f>
        <v>50356983.260000005</v>
      </c>
      <c r="G40" s="130">
        <f t="shared" si="14"/>
        <v>0.61577892998662898</v>
      </c>
      <c r="H40" s="130">
        <f t="shared" si="3"/>
        <v>108.51101228652693</v>
      </c>
      <c r="I40" s="140">
        <f>SUM(I41:I80)</f>
        <v>12014700</v>
      </c>
      <c r="J40" s="140">
        <f>SUM(J41:J80)</f>
        <v>21556179</v>
      </c>
      <c r="K40" s="140">
        <f>SUM(K41:K80)</f>
        <v>21556179</v>
      </c>
      <c r="L40" s="140">
        <f t="shared" si="4"/>
        <v>0</v>
      </c>
      <c r="M40" s="130">
        <f t="shared" si="5"/>
        <v>0.21536240427227157</v>
      </c>
      <c r="N40" s="130">
        <f t="shared" si="6"/>
        <v>9541479</v>
      </c>
      <c r="O40" s="140">
        <f>SUM(O41:O80)</f>
        <v>24286442.349999994</v>
      </c>
      <c r="P40" s="130">
        <f t="shared" si="7"/>
        <v>0.24318920000906968</v>
      </c>
      <c r="Q40" s="130">
        <f t="shared" si="8"/>
        <v>112.66580385141538</v>
      </c>
      <c r="R40" s="130">
        <f t="shared" si="9"/>
        <v>2730263.349999994</v>
      </c>
      <c r="S40" s="130">
        <f t="shared" si="10"/>
        <v>-26070540.910000011</v>
      </c>
      <c r="T40" s="140">
        <f>SUM(T41:T80)</f>
        <v>24286442.349999998</v>
      </c>
      <c r="U40" s="141">
        <f t="shared" si="11"/>
        <v>0</v>
      </c>
    </row>
    <row r="41" spans="1:21" s="112" customFormat="1" ht="105" customHeight="1" x14ac:dyDescent="0.2">
      <c r="A41" s="116" t="s">
        <v>217</v>
      </c>
      <c r="B41" s="131">
        <v>900000</v>
      </c>
      <c r="C41" s="131">
        <v>802000</v>
      </c>
      <c r="D41" s="132">
        <f t="shared" si="13"/>
        <v>1.0241147780465693E-2</v>
      </c>
      <c r="E41" s="132">
        <f t="shared" si="15"/>
        <v>-98000</v>
      </c>
      <c r="F41" s="131">
        <v>890609.67</v>
      </c>
      <c r="G41" s="132">
        <f t="shared" si="14"/>
        <v>1.0890618026039885E-2</v>
      </c>
      <c r="H41" s="132">
        <f t="shared" si="3"/>
        <v>111.04858728179552</v>
      </c>
      <c r="I41" s="131">
        <v>0</v>
      </c>
      <c r="J41" s="131">
        <v>0</v>
      </c>
      <c r="K41" s="131">
        <v>0</v>
      </c>
      <c r="L41" s="131">
        <f t="shared" si="4"/>
        <v>0</v>
      </c>
      <c r="M41" s="132">
        <f t="shared" si="5"/>
        <v>0</v>
      </c>
      <c r="N41" s="132">
        <f t="shared" si="6"/>
        <v>0</v>
      </c>
      <c r="O41" s="131">
        <v>0</v>
      </c>
      <c r="P41" s="132">
        <f t="shared" si="7"/>
        <v>0</v>
      </c>
      <c r="Q41" s="132">
        <v>0</v>
      </c>
      <c r="R41" s="132">
        <f t="shared" si="9"/>
        <v>0</v>
      </c>
      <c r="S41" s="132">
        <f t="shared" si="10"/>
        <v>-890609.67</v>
      </c>
      <c r="T41" s="131"/>
      <c r="U41" s="141">
        <f t="shared" si="11"/>
        <v>0</v>
      </c>
    </row>
    <row r="42" spans="1:21" s="112" customFormat="1" ht="74.25" customHeight="1" x14ac:dyDescent="0.2">
      <c r="A42" s="116" t="s">
        <v>32</v>
      </c>
      <c r="B42" s="131">
        <v>80000</v>
      </c>
      <c r="C42" s="131">
        <v>123000</v>
      </c>
      <c r="D42" s="132">
        <f t="shared" si="13"/>
        <v>1.5706498466300251E-3</v>
      </c>
      <c r="E42" s="132">
        <f t="shared" si="15"/>
        <v>43000</v>
      </c>
      <c r="F42" s="131">
        <v>144794.76999999999</v>
      </c>
      <c r="G42" s="132">
        <f t="shared" si="14"/>
        <v>1.7705899513063886E-3</v>
      </c>
      <c r="H42" s="132">
        <f t="shared" si="3"/>
        <v>117.71932520325204</v>
      </c>
      <c r="I42" s="131">
        <v>0</v>
      </c>
      <c r="J42" s="131">
        <v>0</v>
      </c>
      <c r="K42" s="131">
        <v>0</v>
      </c>
      <c r="L42" s="131">
        <f t="shared" si="4"/>
        <v>0</v>
      </c>
      <c r="M42" s="132">
        <f t="shared" si="5"/>
        <v>0</v>
      </c>
      <c r="N42" s="132">
        <f t="shared" si="6"/>
        <v>0</v>
      </c>
      <c r="O42" s="131">
        <v>0</v>
      </c>
      <c r="P42" s="132">
        <f t="shared" si="7"/>
        <v>0</v>
      </c>
      <c r="Q42" s="132">
        <v>0</v>
      </c>
      <c r="R42" s="132">
        <f t="shared" si="9"/>
        <v>0</v>
      </c>
      <c r="S42" s="132">
        <f t="shared" si="10"/>
        <v>-144794.76999999999</v>
      </c>
      <c r="T42" s="131"/>
      <c r="U42" s="141">
        <f t="shared" si="11"/>
        <v>0</v>
      </c>
    </row>
    <row r="43" spans="1:21" s="112" customFormat="1" ht="79.5" customHeight="1" x14ac:dyDescent="0.2">
      <c r="A43" s="116" t="s">
        <v>218</v>
      </c>
      <c r="B43" s="131">
        <v>0</v>
      </c>
      <c r="C43" s="131">
        <v>0</v>
      </c>
      <c r="D43" s="132">
        <f t="shared" si="13"/>
        <v>0</v>
      </c>
      <c r="E43" s="132">
        <f t="shared" si="15"/>
        <v>0</v>
      </c>
      <c r="F43" s="131">
        <v>150</v>
      </c>
      <c r="G43" s="132">
        <v>0</v>
      </c>
      <c r="H43" s="132">
        <v>0</v>
      </c>
      <c r="I43" s="131">
        <v>0</v>
      </c>
      <c r="J43" s="131">
        <v>0</v>
      </c>
      <c r="K43" s="131">
        <v>0</v>
      </c>
      <c r="L43" s="131">
        <f t="shared" si="4"/>
        <v>0</v>
      </c>
      <c r="M43" s="132">
        <f t="shared" si="5"/>
        <v>0</v>
      </c>
      <c r="N43" s="132">
        <f t="shared" si="6"/>
        <v>0</v>
      </c>
      <c r="O43" s="131">
        <v>0</v>
      </c>
      <c r="P43" s="132">
        <f t="shared" si="7"/>
        <v>0</v>
      </c>
      <c r="Q43" s="132">
        <v>0</v>
      </c>
      <c r="R43" s="132">
        <f t="shared" si="9"/>
        <v>0</v>
      </c>
      <c r="S43" s="132">
        <f t="shared" si="10"/>
        <v>-150</v>
      </c>
      <c r="T43" s="131"/>
      <c r="U43" s="141">
        <f t="shared" si="11"/>
        <v>0</v>
      </c>
    </row>
    <row r="44" spans="1:21" s="112" customFormat="1" ht="90" x14ac:dyDescent="0.2">
      <c r="A44" s="116" t="s">
        <v>115</v>
      </c>
      <c r="B44" s="131">
        <v>40000</v>
      </c>
      <c r="C44" s="131">
        <v>175000</v>
      </c>
      <c r="D44" s="132">
        <f t="shared" si="13"/>
        <v>2.2346644159370278E-3</v>
      </c>
      <c r="E44" s="132">
        <f t="shared" si="15"/>
        <v>135000</v>
      </c>
      <c r="F44" s="131">
        <v>142226.57999999999</v>
      </c>
      <c r="G44" s="132">
        <f>F44/F$94*100</f>
        <v>1.7391854233179428E-3</v>
      </c>
      <c r="H44" s="132">
        <f t="shared" si="3"/>
        <v>81.27233142857142</v>
      </c>
      <c r="I44" s="131">
        <v>0</v>
      </c>
      <c r="J44" s="131">
        <v>0</v>
      </c>
      <c r="K44" s="131">
        <v>0</v>
      </c>
      <c r="L44" s="131">
        <f t="shared" si="4"/>
        <v>0</v>
      </c>
      <c r="M44" s="132">
        <f t="shared" si="5"/>
        <v>0</v>
      </c>
      <c r="N44" s="132">
        <f t="shared" si="6"/>
        <v>0</v>
      </c>
      <c r="O44" s="131">
        <v>0</v>
      </c>
      <c r="P44" s="132">
        <f t="shared" si="7"/>
        <v>0</v>
      </c>
      <c r="Q44" s="132">
        <v>0</v>
      </c>
      <c r="R44" s="132">
        <f t="shared" si="9"/>
        <v>0</v>
      </c>
      <c r="S44" s="132">
        <f t="shared" si="10"/>
        <v>-142226.57999999999</v>
      </c>
      <c r="T44" s="131"/>
      <c r="U44" s="141">
        <f t="shared" si="11"/>
        <v>0</v>
      </c>
    </row>
    <row r="45" spans="1:21" s="112" customFormat="1" ht="90" x14ac:dyDescent="0.2">
      <c r="A45" s="116" t="s">
        <v>219</v>
      </c>
      <c r="B45" s="131">
        <v>1050000</v>
      </c>
      <c r="C45" s="131">
        <v>1500000</v>
      </c>
      <c r="D45" s="132">
        <f t="shared" si="13"/>
        <v>1.9154266422317382E-2</v>
      </c>
      <c r="E45" s="132">
        <f t="shared" si="15"/>
        <v>450000</v>
      </c>
      <c r="F45" s="131">
        <v>951926.94</v>
      </c>
      <c r="G45" s="132">
        <f>F45/F$94*100</f>
        <v>1.1640422332532036E-2</v>
      </c>
      <c r="H45" s="132">
        <f t="shared" si="3"/>
        <v>63.461795999999993</v>
      </c>
      <c r="I45" s="131">
        <v>0</v>
      </c>
      <c r="J45" s="131">
        <v>0</v>
      </c>
      <c r="K45" s="131">
        <v>0</v>
      </c>
      <c r="L45" s="131">
        <f t="shared" si="4"/>
        <v>0</v>
      </c>
      <c r="M45" s="132">
        <f t="shared" si="5"/>
        <v>0</v>
      </c>
      <c r="N45" s="132">
        <f t="shared" si="6"/>
        <v>0</v>
      </c>
      <c r="O45" s="131">
        <v>0</v>
      </c>
      <c r="P45" s="132">
        <f t="shared" si="7"/>
        <v>0</v>
      </c>
      <c r="Q45" s="132">
        <v>0</v>
      </c>
      <c r="R45" s="132">
        <f t="shared" si="9"/>
        <v>0</v>
      </c>
      <c r="S45" s="132">
        <f t="shared" si="10"/>
        <v>-951926.94</v>
      </c>
      <c r="T45" s="131"/>
      <c r="U45" s="141">
        <f t="shared" si="11"/>
        <v>0</v>
      </c>
    </row>
    <row r="46" spans="1:21" s="112" customFormat="1" ht="75" x14ac:dyDescent="0.2">
      <c r="A46" s="116" t="s">
        <v>220</v>
      </c>
      <c r="B46" s="131">
        <v>0</v>
      </c>
      <c r="C46" s="131">
        <v>3000</v>
      </c>
      <c r="D46" s="132">
        <f t="shared" si="13"/>
        <v>3.8308532844634762E-5</v>
      </c>
      <c r="E46" s="132">
        <f t="shared" si="15"/>
        <v>3000</v>
      </c>
      <c r="F46" s="131">
        <v>3000</v>
      </c>
      <c r="G46" s="132">
        <f>F46/F$94*100</f>
        <v>3.6684818477346706E-5</v>
      </c>
      <c r="H46" s="132">
        <f t="shared" si="3"/>
        <v>100</v>
      </c>
      <c r="I46" s="131">
        <v>0</v>
      </c>
      <c r="J46" s="131">
        <v>0</v>
      </c>
      <c r="K46" s="131">
        <v>0</v>
      </c>
      <c r="L46" s="131">
        <f t="shared" si="4"/>
        <v>0</v>
      </c>
      <c r="M46" s="132">
        <f t="shared" si="5"/>
        <v>0</v>
      </c>
      <c r="N46" s="132">
        <f t="shared" si="6"/>
        <v>0</v>
      </c>
      <c r="O46" s="131">
        <v>0</v>
      </c>
      <c r="P46" s="132">
        <f t="shared" si="7"/>
        <v>0</v>
      </c>
      <c r="Q46" s="132">
        <v>0</v>
      </c>
      <c r="R46" s="132">
        <f t="shared" si="9"/>
        <v>0</v>
      </c>
      <c r="S46" s="132">
        <f t="shared" si="10"/>
        <v>-3000</v>
      </c>
      <c r="T46" s="131"/>
      <c r="U46" s="141">
        <f t="shared" si="11"/>
        <v>0</v>
      </c>
    </row>
    <row r="47" spans="1:21" s="112" customFormat="1" ht="48.75" customHeight="1" x14ac:dyDescent="0.2">
      <c r="A47" s="116" t="s">
        <v>200</v>
      </c>
      <c r="B47" s="131">
        <v>0</v>
      </c>
      <c r="C47" s="131">
        <v>0</v>
      </c>
      <c r="D47" s="132">
        <f t="shared" si="13"/>
        <v>0</v>
      </c>
      <c r="E47" s="132">
        <f t="shared" si="15"/>
        <v>0</v>
      </c>
      <c r="F47" s="131">
        <v>0</v>
      </c>
      <c r="G47" s="132">
        <f>F47/F$94*100</f>
        <v>0</v>
      </c>
      <c r="H47" s="132">
        <v>0</v>
      </c>
      <c r="I47" s="131">
        <v>0</v>
      </c>
      <c r="J47" s="131">
        <v>0</v>
      </c>
      <c r="K47" s="131">
        <v>0</v>
      </c>
      <c r="L47" s="131">
        <f t="shared" si="4"/>
        <v>0</v>
      </c>
      <c r="M47" s="132">
        <f t="shared" si="5"/>
        <v>0</v>
      </c>
      <c r="N47" s="132">
        <f t="shared" si="6"/>
        <v>0</v>
      </c>
      <c r="O47" s="131">
        <v>0</v>
      </c>
      <c r="P47" s="132">
        <f t="shared" si="7"/>
        <v>0</v>
      </c>
      <c r="Q47" s="132">
        <v>0</v>
      </c>
      <c r="R47" s="132">
        <f t="shared" si="9"/>
        <v>0</v>
      </c>
      <c r="S47" s="132">
        <f t="shared" si="10"/>
        <v>0</v>
      </c>
      <c r="T47" s="131"/>
      <c r="U47" s="141">
        <f t="shared" si="11"/>
        <v>0</v>
      </c>
    </row>
    <row r="48" spans="1:21" s="112" customFormat="1" ht="60" x14ac:dyDescent="0.2">
      <c r="A48" s="116" t="s">
        <v>136</v>
      </c>
      <c r="B48" s="131">
        <v>73000</v>
      </c>
      <c r="C48" s="131">
        <v>28000</v>
      </c>
      <c r="D48" s="132">
        <f t="shared" si="13"/>
        <v>3.5754630654992442E-4</v>
      </c>
      <c r="E48" s="132">
        <f t="shared" si="15"/>
        <v>-45000</v>
      </c>
      <c r="F48" s="131">
        <v>34242.58</v>
      </c>
      <c r="G48" s="132">
        <f>F48/F$94*100</f>
        <v>4.1872761049867427E-4</v>
      </c>
      <c r="H48" s="132">
        <f t="shared" si="3"/>
        <v>122.29492857142858</v>
      </c>
      <c r="I48" s="131">
        <v>0</v>
      </c>
      <c r="J48" s="131">
        <v>0</v>
      </c>
      <c r="K48" s="131">
        <v>0</v>
      </c>
      <c r="L48" s="131">
        <f t="shared" si="4"/>
        <v>0</v>
      </c>
      <c r="M48" s="132">
        <f t="shared" si="5"/>
        <v>0</v>
      </c>
      <c r="N48" s="132">
        <f t="shared" si="6"/>
        <v>0</v>
      </c>
      <c r="O48" s="131">
        <v>0</v>
      </c>
      <c r="P48" s="132">
        <f t="shared" si="7"/>
        <v>0</v>
      </c>
      <c r="Q48" s="132">
        <v>0</v>
      </c>
      <c r="R48" s="132">
        <f t="shared" si="9"/>
        <v>0</v>
      </c>
      <c r="S48" s="132">
        <f t="shared" si="10"/>
        <v>-34242.58</v>
      </c>
      <c r="T48" s="131"/>
      <c r="U48" s="141">
        <f t="shared" si="11"/>
        <v>0</v>
      </c>
    </row>
    <row r="49" spans="1:21" s="112" customFormat="1" ht="46.5" customHeight="1" x14ac:dyDescent="0.2">
      <c r="A49" s="116" t="s">
        <v>221</v>
      </c>
      <c r="B49" s="131">
        <v>0</v>
      </c>
      <c r="C49" s="131">
        <v>0</v>
      </c>
      <c r="D49" s="132">
        <f t="shared" si="13"/>
        <v>0</v>
      </c>
      <c r="E49" s="132">
        <f t="shared" si="15"/>
        <v>0</v>
      </c>
      <c r="F49" s="131">
        <v>150000</v>
      </c>
      <c r="G49" s="132">
        <v>0</v>
      </c>
      <c r="H49" s="132">
        <v>0</v>
      </c>
      <c r="I49" s="131">
        <v>0</v>
      </c>
      <c r="J49" s="131">
        <v>0</v>
      </c>
      <c r="K49" s="131">
        <v>0</v>
      </c>
      <c r="L49" s="131">
        <f t="shared" si="4"/>
        <v>0</v>
      </c>
      <c r="M49" s="132">
        <f t="shared" si="5"/>
        <v>0</v>
      </c>
      <c r="N49" s="132">
        <f t="shared" si="6"/>
        <v>0</v>
      </c>
      <c r="O49" s="131">
        <v>0</v>
      </c>
      <c r="P49" s="132">
        <f t="shared" si="7"/>
        <v>0</v>
      </c>
      <c r="Q49" s="132">
        <v>0</v>
      </c>
      <c r="R49" s="132">
        <f t="shared" si="9"/>
        <v>0</v>
      </c>
      <c r="S49" s="132">
        <f t="shared" si="10"/>
        <v>-150000</v>
      </c>
      <c r="T49" s="131"/>
      <c r="U49" s="141">
        <f t="shared" si="11"/>
        <v>0</v>
      </c>
    </row>
    <row r="50" spans="1:21" s="112" customFormat="1" ht="48" customHeight="1" x14ac:dyDescent="0.2">
      <c r="A50" s="116" t="s">
        <v>35</v>
      </c>
      <c r="B50" s="131">
        <v>1735500</v>
      </c>
      <c r="C50" s="131">
        <v>2112000</v>
      </c>
      <c r="D50" s="132">
        <f t="shared" si="13"/>
        <v>2.6969207122622872E-2</v>
      </c>
      <c r="E50" s="132">
        <f t="shared" si="15"/>
        <v>376500</v>
      </c>
      <c r="F50" s="131">
        <v>2919500</v>
      </c>
      <c r="G50" s="132">
        <f t="shared" ref="G50:G59" si="16">F50/F$94*100</f>
        <v>3.5700442514871235E-2</v>
      </c>
      <c r="H50" s="132">
        <f t="shared" si="3"/>
        <v>138.2339015151515</v>
      </c>
      <c r="I50" s="131">
        <v>0</v>
      </c>
      <c r="J50" s="131">
        <v>0</v>
      </c>
      <c r="K50" s="131">
        <v>0</v>
      </c>
      <c r="L50" s="131">
        <f t="shared" si="4"/>
        <v>0</v>
      </c>
      <c r="M50" s="132">
        <f t="shared" si="5"/>
        <v>0</v>
      </c>
      <c r="N50" s="132">
        <f t="shared" si="6"/>
        <v>0</v>
      </c>
      <c r="O50" s="131">
        <v>0</v>
      </c>
      <c r="P50" s="132">
        <f t="shared" si="7"/>
        <v>0</v>
      </c>
      <c r="Q50" s="132">
        <v>0</v>
      </c>
      <c r="R50" s="132">
        <f t="shared" si="9"/>
        <v>0</v>
      </c>
      <c r="S50" s="132">
        <f t="shared" si="10"/>
        <v>-2919500</v>
      </c>
      <c r="T50" s="131"/>
      <c r="U50" s="141">
        <f t="shared" si="11"/>
        <v>0</v>
      </c>
    </row>
    <row r="51" spans="1:21" s="112" customFormat="1" ht="45" x14ac:dyDescent="0.2">
      <c r="A51" s="116" t="s">
        <v>36</v>
      </c>
      <c r="B51" s="131">
        <v>50000</v>
      </c>
      <c r="C51" s="131">
        <v>570000</v>
      </c>
      <c r="D51" s="132">
        <f t="shared" si="13"/>
        <v>7.2786212404806041E-3</v>
      </c>
      <c r="E51" s="132">
        <f t="shared" si="15"/>
        <v>520000</v>
      </c>
      <c r="F51" s="131">
        <v>610912.57999999996</v>
      </c>
      <c r="G51" s="132">
        <f t="shared" si="16"/>
        <v>7.4704057009425152E-3</v>
      </c>
      <c r="H51" s="132">
        <f t="shared" si="3"/>
        <v>107.17764561403509</v>
      </c>
      <c r="I51" s="131">
        <v>0</v>
      </c>
      <c r="J51" s="131">
        <v>0</v>
      </c>
      <c r="K51" s="131">
        <v>0</v>
      </c>
      <c r="L51" s="131">
        <f t="shared" si="4"/>
        <v>0</v>
      </c>
      <c r="M51" s="132">
        <f t="shared" si="5"/>
        <v>0</v>
      </c>
      <c r="N51" s="132">
        <f t="shared" si="6"/>
        <v>0</v>
      </c>
      <c r="O51" s="131">
        <v>0</v>
      </c>
      <c r="P51" s="132">
        <f t="shared" si="7"/>
        <v>0</v>
      </c>
      <c r="Q51" s="132">
        <v>0</v>
      </c>
      <c r="R51" s="132">
        <f t="shared" si="9"/>
        <v>0</v>
      </c>
      <c r="S51" s="132">
        <f t="shared" si="10"/>
        <v>-610912.57999999996</v>
      </c>
      <c r="T51" s="131"/>
      <c r="U51" s="141">
        <f t="shared" si="11"/>
        <v>0</v>
      </c>
    </row>
    <row r="52" spans="1:21" s="112" customFormat="1" ht="90" x14ac:dyDescent="0.2">
      <c r="A52" s="116" t="s">
        <v>37</v>
      </c>
      <c r="B52" s="131">
        <v>1230000</v>
      </c>
      <c r="C52" s="131">
        <v>1190000</v>
      </c>
      <c r="D52" s="132">
        <f t="shared" si="13"/>
        <v>1.519571802837179E-2</v>
      </c>
      <c r="E52" s="132">
        <f t="shared" si="15"/>
        <v>-40000</v>
      </c>
      <c r="F52" s="131">
        <v>1227350</v>
      </c>
      <c r="G52" s="132">
        <f t="shared" si="16"/>
        <v>1.5008370652723826E-2</v>
      </c>
      <c r="H52" s="132">
        <f t="shared" si="3"/>
        <v>103.13865546218489</v>
      </c>
      <c r="I52" s="131">
        <v>0</v>
      </c>
      <c r="J52" s="131">
        <v>0</v>
      </c>
      <c r="K52" s="131">
        <v>0</v>
      </c>
      <c r="L52" s="131">
        <f t="shared" si="4"/>
        <v>0</v>
      </c>
      <c r="M52" s="132">
        <f t="shared" si="5"/>
        <v>0</v>
      </c>
      <c r="N52" s="132">
        <f t="shared" si="6"/>
        <v>0</v>
      </c>
      <c r="O52" s="131">
        <v>0</v>
      </c>
      <c r="P52" s="132">
        <f t="shared" si="7"/>
        <v>0</v>
      </c>
      <c r="Q52" s="132">
        <v>0</v>
      </c>
      <c r="R52" s="132">
        <f t="shared" si="9"/>
        <v>0</v>
      </c>
      <c r="S52" s="132">
        <f t="shared" si="10"/>
        <v>-1227350</v>
      </c>
      <c r="T52" s="131"/>
      <c r="U52" s="141">
        <f t="shared" si="11"/>
        <v>0</v>
      </c>
    </row>
    <row r="53" spans="1:21" s="112" customFormat="1" ht="72.75" customHeight="1" x14ac:dyDescent="0.25">
      <c r="A53" s="121" t="s">
        <v>201</v>
      </c>
      <c r="B53" s="131">
        <v>500000</v>
      </c>
      <c r="C53" s="131">
        <v>100000</v>
      </c>
      <c r="D53" s="132">
        <f t="shared" si="13"/>
        <v>1.2769510948211589E-3</v>
      </c>
      <c r="E53" s="132">
        <f t="shared" si="15"/>
        <v>-400000</v>
      </c>
      <c r="F53" s="131">
        <v>40</v>
      </c>
      <c r="G53" s="132">
        <f t="shared" si="16"/>
        <v>4.8913091303128941E-7</v>
      </c>
      <c r="H53" s="132">
        <f t="shared" si="3"/>
        <v>0.04</v>
      </c>
      <c r="I53" s="131">
        <v>0</v>
      </c>
      <c r="J53" s="131">
        <v>0</v>
      </c>
      <c r="K53" s="131">
        <v>0</v>
      </c>
      <c r="L53" s="131">
        <f t="shared" si="4"/>
        <v>0</v>
      </c>
      <c r="M53" s="132">
        <f t="shared" si="5"/>
        <v>0</v>
      </c>
      <c r="N53" s="132">
        <f t="shared" si="6"/>
        <v>0</v>
      </c>
      <c r="O53" s="131">
        <v>0</v>
      </c>
      <c r="P53" s="132">
        <f t="shared" si="7"/>
        <v>0</v>
      </c>
      <c r="Q53" s="132">
        <v>0</v>
      </c>
      <c r="R53" s="132">
        <f t="shared" si="9"/>
        <v>0</v>
      </c>
      <c r="S53" s="132">
        <f t="shared" si="10"/>
        <v>-40</v>
      </c>
      <c r="T53" s="131"/>
      <c r="U53" s="141">
        <f t="shared" si="11"/>
        <v>0</v>
      </c>
    </row>
    <row r="54" spans="1:21" s="112" customFormat="1" ht="135" x14ac:dyDescent="0.2">
      <c r="A54" s="116" t="s">
        <v>185</v>
      </c>
      <c r="B54" s="131">
        <v>8000000</v>
      </c>
      <c r="C54" s="131">
        <v>11000000</v>
      </c>
      <c r="D54" s="132">
        <f t="shared" si="13"/>
        <v>0.14046462043032748</v>
      </c>
      <c r="E54" s="132">
        <f t="shared" si="15"/>
        <v>3000000</v>
      </c>
      <c r="F54" s="131">
        <v>11860723.52</v>
      </c>
      <c r="G54" s="132">
        <f t="shared" si="16"/>
        <v>0.14503616311373221</v>
      </c>
      <c r="H54" s="132">
        <f t="shared" si="3"/>
        <v>107.82475927272728</v>
      </c>
      <c r="I54" s="131">
        <v>0</v>
      </c>
      <c r="J54" s="131">
        <v>0</v>
      </c>
      <c r="K54" s="131">
        <v>0</v>
      </c>
      <c r="L54" s="131">
        <f t="shared" si="4"/>
        <v>0</v>
      </c>
      <c r="M54" s="132">
        <f t="shared" si="5"/>
        <v>0</v>
      </c>
      <c r="N54" s="132">
        <f t="shared" si="6"/>
        <v>0</v>
      </c>
      <c r="O54" s="131">
        <v>0</v>
      </c>
      <c r="P54" s="132">
        <f t="shared" si="7"/>
        <v>0</v>
      </c>
      <c r="Q54" s="132">
        <v>0</v>
      </c>
      <c r="R54" s="132">
        <f t="shared" si="9"/>
        <v>0</v>
      </c>
      <c r="S54" s="132">
        <f t="shared" si="10"/>
        <v>-11860723.52</v>
      </c>
      <c r="T54" s="131"/>
      <c r="U54" s="141">
        <f t="shared" si="11"/>
        <v>0</v>
      </c>
    </row>
    <row r="55" spans="1:21" s="112" customFormat="1" ht="105" x14ac:dyDescent="0.25">
      <c r="A55" s="121" t="s">
        <v>202</v>
      </c>
      <c r="B55" s="131">
        <v>1024200</v>
      </c>
      <c r="C55" s="131">
        <v>2023000</v>
      </c>
      <c r="D55" s="132">
        <f t="shared" si="13"/>
        <v>2.5832720648232041E-2</v>
      </c>
      <c r="E55" s="132">
        <f t="shared" si="15"/>
        <v>998800</v>
      </c>
      <c r="F55" s="131">
        <v>2443596.67</v>
      </c>
      <c r="G55" s="132">
        <f t="shared" si="16"/>
        <v>2.9880966756932959E-2</v>
      </c>
      <c r="H55" s="132">
        <f t="shared" si="3"/>
        <v>120.79073999011369</v>
      </c>
      <c r="I55" s="131">
        <v>0</v>
      </c>
      <c r="J55" s="131">
        <v>0</v>
      </c>
      <c r="K55" s="131">
        <v>0</v>
      </c>
      <c r="L55" s="131">
        <f t="shared" si="4"/>
        <v>0</v>
      </c>
      <c r="M55" s="132">
        <f t="shared" si="5"/>
        <v>0</v>
      </c>
      <c r="N55" s="132">
        <f t="shared" si="6"/>
        <v>0</v>
      </c>
      <c r="O55" s="131">
        <v>0</v>
      </c>
      <c r="P55" s="132">
        <f t="shared" si="7"/>
        <v>0</v>
      </c>
      <c r="Q55" s="132">
        <v>0</v>
      </c>
      <c r="R55" s="132">
        <f t="shared" si="9"/>
        <v>0</v>
      </c>
      <c r="S55" s="132">
        <f t="shared" si="10"/>
        <v>-2443596.67</v>
      </c>
      <c r="T55" s="131"/>
      <c r="U55" s="141">
        <f t="shared" si="11"/>
        <v>0</v>
      </c>
    </row>
    <row r="56" spans="1:21" s="112" customFormat="1" ht="105" x14ac:dyDescent="0.2">
      <c r="A56" s="116" t="s">
        <v>203</v>
      </c>
      <c r="B56" s="131">
        <v>451400</v>
      </c>
      <c r="C56" s="131">
        <v>166000</v>
      </c>
      <c r="D56" s="132">
        <f t="shared" si="13"/>
        <v>2.1197388174031234E-3</v>
      </c>
      <c r="E56" s="132">
        <f t="shared" si="15"/>
        <v>-285400</v>
      </c>
      <c r="F56" s="131">
        <v>95000</v>
      </c>
      <c r="G56" s="132">
        <f t="shared" si="16"/>
        <v>1.1616859184493125E-3</v>
      </c>
      <c r="H56" s="132">
        <f t="shared" si="3"/>
        <v>57.228915662650607</v>
      </c>
      <c r="I56" s="131">
        <v>0</v>
      </c>
      <c r="J56" s="131">
        <v>0</v>
      </c>
      <c r="K56" s="131">
        <v>0</v>
      </c>
      <c r="L56" s="131">
        <f t="shared" si="4"/>
        <v>0</v>
      </c>
      <c r="M56" s="132">
        <f t="shared" si="5"/>
        <v>0</v>
      </c>
      <c r="N56" s="132">
        <f t="shared" si="6"/>
        <v>0</v>
      </c>
      <c r="O56" s="131">
        <v>0</v>
      </c>
      <c r="P56" s="132">
        <f t="shared" si="7"/>
        <v>0</v>
      </c>
      <c r="Q56" s="132">
        <v>0</v>
      </c>
      <c r="R56" s="132">
        <f t="shared" si="9"/>
        <v>0</v>
      </c>
      <c r="S56" s="132">
        <f t="shared" si="10"/>
        <v>-95000</v>
      </c>
      <c r="T56" s="131"/>
      <c r="U56" s="141">
        <f t="shared" si="11"/>
        <v>0</v>
      </c>
    </row>
    <row r="57" spans="1:21" s="112" customFormat="1" ht="60" x14ac:dyDescent="0.2">
      <c r="A57" s="116" t="s">
        <v>38</v>
      </c>
      <c r="B57" s="131">
        <v>9803600</v>
      </c>
      <c r="C57" s="131">
        <v>24915256</v>
      </c>
      <c r="D57" s="132">
        <f t="shared" si="13"/>
        <v>0.31815563426949445</v>
      </c>
      <c r="E57" s="132">
        <f t="shared" si="15"/>
        <v>15111656</v>
      </c>
      <c r="F57" s="131">
        <v>26950450.949999999</v>
      </c>
      <c r="G57" s="132">
        <f t="shared" si="16"/>
        <v>0.32955746699446203</v>
      </c>
      <c r="H57" s="132">
        <f t="shared" si="3"/>
        <v>108.16846894930559</v>
      </c>
      <c r="I57" s="131">
        <v>0</v>
      </c>
      <c r="J57" s="131">
        <v>0</v>
      </c>
      <c r="K57" s="131">
        <v>0</v>
      </c>
      <c r="L57" s="131">
        <f t="shared" si="4"/>
        <v>0</v>
      </c>
      <c r="M57" s="132">
        <f t="shared" si="5"/>
        <v>0</v>
      </c>
      <c r="N57" s="132">
        <f t="shared" si="6"/>
        <v>0</v>
      </c>
      <c r="O57" s="131">
        <v>0</v>
      </c>
      <c r="P57" s="132">
        <f t="shared" si="7"/>
        <v>0</v>
      </c>
      <c r="Q57" s="132">
        <v>0</v>
      </c>
      <c r="R57" s="132">
        <f t="shared" si="9"/>
        <v>0</v>
      </c>
      <c r="S57" s="132">
        <f t="shared" si="10"/>
        <v>-26950450.949999999</v>
      </c>
      <c r="T57" s="131"/>
      <c r="U57" s="141">
        <f t="shared" si="11"/>
        <v>0</v>
      </c>
    </row>
    <row r="58" spans="1:21" s="112" customFormat="1" ht="51.75" customHeight="1" x14ac:dyDescent="0.2">
      <c r="A58" s="116" t="s">
        <v>163</v>
      </c>
      <c r="B58" s="131">
        <v>1000000</v>
      </c>
      <c r="C58" s="131">
        <v>1700000</v>
      </c>
      <c r="D58" s="132">
        <f t="shared" si="13"/>
        <v>2.1708168611959698E-2</v>
      </c>
      <c r="E58" s="132">
        <f t="shared" si="15"/>
        <v>700000</v>
      </c>
      <c r="F58" s="131">
        <v>1932459</v>
      </c>
      <c r="G58" s="132">
        <f t="shared" si="16"/>
        <v>2.3630635876638311E-2</v>
      </c>
      <c r="H58" s="132">
        <f t="shared" si="3"/>
        <v>113.67405882352941</v>
      </c>
      <c r="I58" s="131">
        <v>0</v>
      </c>
      <c r="J58" s="131">
        <v>0</v>
      </c>
      <c r="K58" s="131">
        <v>0</v>
      </c>
      <c r="L58" s="131">
        <f t="shared" si="4"/>
        <v>0</v>
      </c>
      <c r="M58" s="132">
        <f t="shared" si="5"/>
        <v>0</v>
      </c>
      <c r="N58" s="132">
        <f t="shared" si="6"/>
        <v>0</v>
      </c>
      <c r="O58" s="131">
        <v>0</v>
      </c>
      <c r="P58" s="132">
        <f t="shared" si="7"/>
        <v>0</v>
      </c>
      <c r="Q58" s="132">
        <v>0</v>
      </c>
      <c r="R58" s="132">
        <f t="shared" si="9"/>
        <v>0</v>
      </c>
      <c r="S58" s="132">
        <f t="shared" si="10"/>
        <v>-1932459</v>
      </c>
      <c r="T58" s="131"/>
      <c r="U58" s="141">
        <f t="shared" si="11"/>
        <v>0</v>
      </c>
    </row>
    <row r="59" spans="1:21" s="112" customFormat="1" ht="120" customHeight="1" x14ac:dyDescent="0.2">
      <c r="A59" s="116" t="s">
        <v>204</v>
      </c>
      <c r="B59" s="131">
        <v>0</v>
      </c>
      <c r="C59" s="131">
        <v>0</v>
      </c>
      <c r="D59" s="132">
        <v>0</v>
      </c>
      <c r="E59" s="132">
        <f>C59-B59</f>
        <v>0</v>
      </c>
      <c r="F59" s="131">
        <v>0</v>
      </c>
      <c r="G59" s="132">
        <f t="shared" si="16"/>
        <v>0</v>
      </c>
      <c r="H59" s="132">
        <v>0</v>
      </c>
      <c r="I59" s="131">
        <v>0</v>
      </c>
      <c r="J59" s="131">
        <v>11880</v>
      </c>
      <c r="K59" s="131">
        <v>11880</v>
      </c>
      <c r="L59" s="131">
        <f t="shared" si="4"/>
        <v>0</v>
      </c>
      <c r="M59" s="132">
        <f t="shared" si="5"/>
        <v>1.1869011492039413E-4</v>
      </c>
      <c r="N59" s="132">
        <f t="shared" si="6"/>
        <v>11880</v>
      </c>
      <c r="O59" s="131">
        <v>20300</v>
      </c>
      <c r="P59" s="132">
        <f t="shared" si="7"/>
        <v>2.0327146681424564E-4</v>
      </c>
      <c r="Q59" s="132">
        <f t="shared" si="8"/>
        <v>170.87542087542087</v>
      </c>
      <c r="R59" s="132">
        <f t="shared" si="9"/>
        <v>8420</v>
      </c>
      <c r="S59" s="132">
        <f t="shared" si="10"/>
        <v>20300</v>
      </c>
      <c r="T59" s="131">
        <v>20300</v>
      </c>
      <c r="U59" s="141">
        <f t="shared" si="11"/>
        <v>0</v>
      </c>
    </row>
    <row r="60" spans="1:21" s="112" customFormat="1" ht="167.25" customHeight="1" x14ac:dyDescent="0.2">
      <c r="A60" s="116" t="s">
        <v>222</v>
      </c>
      <c r="B60" s="131">
        <v>0</v>
      </c>
      <c r="C60" s="131">
        <v>0</v>
      </c>
      <c r="D60" s="132">
        <v>0</v>
      </c>
      <c r="E60" s="132">
        <f t="shared" ref="E60:E80" si="17">C60-B60</f>
        <v>0</v>
      </c>
      <c r="F60" s="131">
        <v>0</v>
      </c>
      <c r="G60" s="132">
        <f t="shared" ref="G60:G80" si="18">F60/F$94*100</f>
        <v>0</v>
      </c>
      <c r="H60" s="132">
        <v>0</v>
      </c>
      <c r="I60" s="131">
        <v>0</v>
      </c>
      <c r="J60" s="131">
        <v>105040</v>
      </c>
      <c r="K60" s="131">
        <v>105040</v>
      </c>
      <c r="L60" s="131">
        <f t="shared" si="4"/>
        <v>0</v>
      </c>
      <c r="M60" s="132">
        <f t="shared" si="5"/>
        <v>1.0494284235048989E-3</v>
      </c>
      <c r="N60" s="132">
        <f t="shared" si="6"/>
        <v>105040</v>
      </c>
      <c r="O60" s="131">
        <v>111144.39</v>
      </c>
      <c r="P60" s="132">
        <f t="shared" si="7"/>
        <v>1.1129302060824916E-3</v>
      </c>
      <c r="Q60" s="132">
        <f t="shared" si="8"/>
        <v>105.81149086062452</v>
      </c>
      <c r="R60" s="132">
        <f t="shared" si="9"/>
        <v>6104.3899999999994</v>
      </c>
      <c r="S60" s="132">
        <f t="shared" si="10"/>
        <v>111144.39</v>
      </c>
      <c r="T60" s="131">
        <v>111144.39</v>
      </c>
      <c r="U60" s="141">
        <f t="shared" si="11"/>
        <v>0</v>
      </c>
    </row>
    <row r="61" spans="1:21" s="112" customFormat="1" ht="120" customHeight="1" x14ac:dyDescent="0.2">
      <c r="A61" s="116" t="s">
        <v>205</v>
      </c>
      <c r="B61" s="131">
        <v>0</v>
      </c>
      <c r="C61" s="131">
        <v>0</v>
      </c>
      <c r="D61" s="132">
        <v>0</v>
      </c>
      <c r="E61" s="132">
        <f t="shared" si="17"/>
        <v>0</v>
      </c>
      <c r="F61" s="131">
        <v>0</v>
      </c>
      <c r="G61" s="132">
        <f t="shared" si="18"/>
        <v>0</v>
      </c>
      <c r="H61" s="132">
        <v>0</v>
      </c>
      <c r="I61" s="131">
        <v>0</v>
      </c>
      <c r="J61" s="131">
        <v>2160</v>
      </c>
      <c r="K61" s="131">
        <v>2160</v>
      </c>
      <c r="L61" s="131">
        <f t="shared" si="4"/>
        <v>0</v>
      </c>
      <c r="M61" s="132">
        <f t="shared" si="5"/>
        <v>2.1580020894617115E-5</v>
      </c>
      <c r="N61" s="132">
        <f t="shared" si="6"/>
        <v>2160</v>
      </c>
      <c r="O61" s="131">
        <v>4800</v>
      </c>
      <c r="P61" s="132">
        <f t="shared" si="7"/>
        <v>4.8064189197457105E-5</v>
      </c>
      <c r="Q61" s="132">
        <f t="shared" si="8"/>
        <v>222.22222222222223</v>
      </c>
      <c r="R61" s="132">
        <f t="shared" si="9"/>
        <v>2640</v>
      </c>
      <c r="S61" s="132">
        <f t="shared" si="10"/>
        <v>4800</v>
      </c>
      <c r="T61" s="131">
        <v>4800</v>
      </c>
      <c r="U61" s="141">
        <f t="shared" si="11"/>
        <v>0</v>
      </c>
    </row>
    <row r="62" spans="1:21" s="112" customFormat="1" ht="165" x14ac:dyDescent="0.2">
      <c r="A62" s="116" t="s">
        <v>206</v>
      </c>
      <c r="B62" s="131">
        <v>0</v>
      </c>
      <c r="C62" s="131">
        <v>0</v>
      </c>
      <c r="D62" s="132">
        <v>0</v>
      </c>
      <c r="E62" s="132">
        <f t="shared" si="17"/>
        <v>0</v>
      </c>
      <c r="F62" s="131">
        <v>0</v>
      </c>
      <c r="G62" s="132">
        <f t="shared" si="18"/>
        <v>0</v>
      </c>
      <c r="H62" s="132">
        <v>0</v>
      </c>
      <c r="I62" s="131">
        <v>0</v>
      </c>
      <c r="J62" s="131">
        <v>126500</v>
      </c>
      <c r="K62" s="131">
        <v>126500</v>
      </c>
      <c r="L62" s="131">
        <f t="shared" si="4"/>
        <v>0</v>
      </c>
      <c r="M62" s="132">
        <f t="shared" si="5"/>
        <v>1.2638299273930857E-3</v>
      </c>
      <c r="N62" s="132">
        <f t="shared" si="6"/>
        <v>126500</v>
      </c>
      <c r="O62" s="131">
        <v>167000</v>
      </c>
      <c r="P62" s="132">
        <f t="shared" si="7"/>
        <v>1.6722332491615282E-3</v>
      </c>
      <c r="Q62" s="132">
        <f t="shared" si="8"/>
        <v>132.01581027667984</v>
      </c>
      <c r="R62" s="132">
        <f t="shared" si="9"/>
        <v>40500</v>
      </c>
      <c r="S62" s="132">
        <f t="shared" si="10"/>
        <v>167000</v>
      </c>
      <c r="T62" s="131">
        <v>167000</v>
      </c>
      <c r="U62" s="141">
        <f t="shared" si="11"/>
        <v>0</v>
      </c>
    </row>
    <row r="63" spans="1:21" s="112" customFormat="1" ht="150" x14ac:dyDescent="0.2">
      <c r="A63" s="116" t="s">
        <v>223</v>
      </c>
      <c r="B63" s="131">
        <v>0</v>
      </c>
      <c r="C63" s="131">
        <v>0</v>
      </c>
      <c r="D63" s="132">
        <v>0</v>
      </c>
      <c r="E63" s="132">
        <f t="shared" si="17"/>
        <v>0</v>
      </c>
      <c r="F63" s="131">
        <v>0</v>
      </c>
      <c r="G63" s="132">
        <f t="shared" si="18"/>
        <v>0</v>
      </c>
      <c r="H63" s="132">
        <v>0</v>
      </c>
      <c r="I63" s="131">
        <v>0</v>
      </c>
      <c r="J63" s="131">
        <v>2400</v>
      </c>
      <c r="K63" s="131">
        <v>2400</v>
      </c>
      <c r="L63" s="131">
        <f t="shared" si="4"/>
        <v>0</v>
      </c>
      <c r="M63" s="132">
        <f t="shared" si="5"/>
        <v>2.3977800994019014E-5</v>
      </c>
      <c r="N63" s="132">
        <f t="shared" si="6"/>
        <v>2400</v>
      </c>
      <c r="O63" s="131">
        <v>4000</v>
      </c>
      <c r="P63" s="132">
        <f t="shared" si="7"/>
        <v>4.0053490997880914E-5</v>
      </c>
      <c r="Q63" s="132">
        <f t="shared" si="8"/>
        <v>166.66666666666669</v>
      </c>
      <c r="R63" s="132">
        <f t="shared" si="9"/>
        <v>1600</v>
      </c>
      <c r="S63" s="132">
        <f t="shared" si="10"/>
        <v>4000</v>
      </c>
      <c r="T63" s="131">
        <v>4000</v>
      </c>
      <c r="U63" s="141">
        <f t="shared" si="11"/>
        <v>0</v>
      </c>
    </row>
    <row r="64" spans="1:21" s="112" customFormat="1" ht="165" x14ac:dyDescent="0.2">
      <c r="A64" s="116" t="s">
        <v>207</v>
      </c>
      <c r="B64" s="131">
        <v>0</v>
      </c>
      <c r="C64" s="131">
        <v>0</v>
      </c>
      <c r="D64" s="132">
        <v>0</v>
      </c>
      <c r="E64" s="132">
        <f t="shared" si="17"/>
        <v>0</v>
      </c>
      <c r="F64" s="131">
        <v>0</v>
      </c>
      <c r="G64" s="132">
        <f t="shared" si="18"/>
        <v>0</v>
      </c>
      <c r="H64" s="132">
        <v>0</v>
      </c>
      <c r="I64" s="131">
        <v>0</v>
      </c>
      <c r="J64" s="131">
        <v>1605100</v>
      </c>
      <c r="K64" s="131">
        <v>1605100</v>
      </c>
      <c r="L64" s="131">
        <f t="shared" si="4"/>
        <v>0</v>
      </c>
      <c r="M64" s="132">
        <f t="shared" si="5"/>
        <v>1.6036153489791632E-2</v>
      </c>
      <c r="N64" s="132">
        <f t="shared" si="6"/>
        <v>1605100</v>
      </c>
      <c r="O64" s="131">
        <v>1606700</v>
      </c>
      <c r="P64" s="132">
        <f t="shared" si="7"/>
        <v>1.608848599657382E-2</v>
      </c>
      <c r="Q64" s="132">
        <f t="shared" si="8"/>
        <v>100.09968226278735</v>
      </c>
      <c r="R64" s="132">
        <f t="shared" si="9"/>
        <v>1600</v>
      </c>
      <c r="S64" s="132">
        <f t="shared" si="10"/>
        <v>1606700</v>
      </c>
      <c r="T64" s="131">
        <f>6700+1600000</f>
        <v>1606700</v>
      </c>
      <c r="U64" s="141">
        <f t="shared" si="11"/>
        <v>0</v>
      </c>
    </row>
    <row r="65" spans="1:21" s="112" customFormat="1" ht="165" x14ac:dyDescent="0.2">
      <c r="A65" s="116" t="s">
        <v>208</v>
      </c>
      <c r="B65" s="131">
        <v>0</v>
      </c>
      <c r="C65" s="131">
        <v>0</v>
      </c>
      <c r="D65" s="132">
        <v>0</v>
      </c>
      <c r="E65" s="132">
        <f t="shared" si="17"/>
        <v>0</v>
      </c>
      <c r="F65" s="131">
        <v>0</v>
      </c>
      <c r="G65" s="132">
        <f t="shared" si="18"/>
        <v>0</v>
      </c>
      <c r="H65" s="132">
        <v>0</v>
      </c>
      <c r="I65" s="131">
        <v>0</v>
      </c>
      <c r="J65" s="131">
        <v>19450</v>
      </c>
      <c r="K65" s="131">
        <v>19450</v>
      </c>
      <c r="L65" s="131">
        <f t="shared" si="4"/>
        <v>0</v>
      </c>
      <c r="M65" s="132">
        <f t="shared" si="5"/>
        <v>1.9432009555569576E-4</v>
      </c>
      <c r="N65" s="132">
        <f t="shared" si="6"/>
        <v>19450</v>
      </c>
      <c r="O65" s="131">
        <v>19449.93</v>
      </c>
      <c r="P65" s="132">
        <f t="shared" si="7"/>
        <v>1.9475939904110349E-4</v>
      </c>
      <c r="Q65" s="132">
        <f t="shared" si="8"/>
        <v>99.999640102827769</v>
      </c>
      <c r="R65" s="132">
        <f t="shared" si="9"/>
        <v>-6.9999999999708962E-2</v>
      </c>
      <c r="S65" s="132">
        <f t="shared" si="10"/>
        <v>19449.93</v>
      </c>
      <c r="T65" s="131">
        <v>19449.93</v>
      </c>
      <c r="U65" s="141">
        <f t="shared" si="11"/>
        <v>0</v>
      </c>
    </row>
    <row r="66" spans="1:21" s="112" customFormat="1" ht="135" x14ac:dyDescent="0.2">
      <c r="A66" s="116" t="s">
        <v>224</v>
      </c>
      <c r="B66" s="131">
        <v>0</v>
      </c>
      <c r="C66" s="131">
        <v>0</v>
      </c>
      <c r="D66" s="132">
        <v>0</v>
      </c>
      <c r="E66" s="132">
        <f t="shared" si="17"/>
        <v>0</v>
      </c>
      <c r="F66" s="131">
        <v>0</v>
      </c>
      <c r="G66" s="132">
        <f t="shared" si="18"/>
        <v>0</v>
      </c>
      <c r="H66" s="132">
        <v>0</v>
      </c>
      <c r="I66" s="131">
        <v>0</v>
      </c>
      <c r="J66" s="131">
        <v>60000</v>
      </c>
      <c r="K66" s="131">
        <v>60000</v>
      </c>
      <c r="L66" s="131">
        <f t="shared" si="4"/>
        <v>0</v>
      </c>
      <c r="M66" s="132">
        <f t="shared" si="5"/>
        <v>5.994450248504754E-4</v>
      </c>
      <c r="N66" s="132">
        <f t="shared" si="6"/>
        <v>60000</v>
      </c>
      <c r="O66" s="131">
        <v>50000</v>
      </c>
      <c r="P66" s="132">
        <f t="shared" si="7"/>
        <v>5.0066863747351149E-4</v>
      </c>
      <c r="Q66" s="132">
        <f t="shared" si="8"/>
        <v>83.333333333333343</v>
      </c>
      <c r="R66" s="132">
        <f t="shared" si="9"/>
        <v>-10000</v>
      </c>
      <c r="S66" s="132">
        <f t="shared" si="10"/>
        <v>50000</v>
      </c>
      <c r="T66" s="131">
        <v>50000</v>
      </c>
      <c r="U66" s="141">
        <f t="shared" si="11"/>
        <v>0</v>
      </c>
    </row>
    <row r="67" spans="1:21" s="112" customFormat="1" ht="195" x14ac:dyDescent="0.2">
      <c r="A67" s="116" t="s">
        <v>225</v>
      </c>
      <c r="B67" s="131">
        <v>0</v>
      </c>
      <c r="C67" s="131">
        <v>0</v>
      </c>
      <c r="D67" s="132">
        <v>0</v>
      </c>
      <c r="E67" s="132">
        <f t="shared" si="17"/>
        <v>0</v>
      </c>
      <c r="F67" s="131">
        <v>0</v>
      </c>
      <c r="G67" s="132">
        <f t="shared" si="18"/>
        <v>0</v>
      </c>
      <c r="H67" s="132">
        <v>0</v>
      </c>
      <c r="I67" s="131">
        <v>0</v>
      </c>
      <c r="J67" s="131">
        <v>25000</v>
      </c>
      <c r="K67" s="131">
        <v>25000</v>
      </c>
      <c r="L67" s="131">
        <f t="shared" si="4"/>
        <v>0</v>
      </c>
      <c r="M67" s="132">
        <f t="shared" si="5"/>
        <v>2.4976876035436474E-4</v>
      </c>
      <c r="N67" s="132">
        <f t="shared" si="6"/>
        <v>25000</v>
      </c>
      <c r="O67" s="131">
        <v>75000</v>
      </c>
      <c r="P67" s="132">
        <f t="shared" si="7"/>
        <v>7.5100295621026718E-4</v>
      </c>
      <c r="Q67" s="132">
        <f t="shared" si="8"/>
        <v>300</v>
      </c>
      <c r="R67" s="132">
        <f t="shared" si="9"/>
        <v>50000</v>
      </c>
      <c r="S67" s="132">
        <f t="shared" si="10"/>
        <v>75000</v>
      </c>
      <c r="T67" s="131">
        <v>75000</v>
      </c>
      <c r="U67" s="141">
        <f t="shared" si="11"/>
        <v>0</v>
      </c>
    </row>
    <row r="68" spans="1:21" s="112" customFormat="1" ht="134.25" customHeight="1" x14ac:dyDescent="0.2">
      <c r="A68" s="116" t="s">
        <v>209</v>
      </c>
      <c r="B68" s="131">
        <v>0</v>
      </c>
      <c r="C68" s="131">
        <v>0</v>
      </c>
      <c r="D68" s="132">
        <v>0</v>
      </c>
      <c r="E68" s="132">
        <f t="shared" si="17"/>
        <v>0</v>
      </c>
      <c r="F68" s="131">
        <v>0</v>
      </c>
      <c r="G68" s="132">
        <f t="shared" si="18"/>
        <v>0</v>
      </c>
      <c r="H68" s="132">
        <v>0</v>
      </c>
      <c r="I68" s="131">
        <v>0</v>
      </c>
      <c r="J68" s="131">
        <v>359400</v>
      </c>
      <c r="K68" s="131">
        <v>359400</v>
      </c>
      <c r="L68" s="131">
        <f t="shared" si="4"/>
        <v>0</v>
      </c>
      <c r="M68" s="132">
        <f t="shared" si="5"/>
        <v>3.5906756988543474E-3</v>
      </c>
      <c r="N68" s="132">
        <f t="shared" si="6"/>
        <v>359400</v>
      </c>
      <c r="O68" s="131">
        <v>482953.06</v>
      </c>
      <c r="P68" s="132">
        <f t="shared" si="7"/>
        <v>4.8359890102772606E-3</v>
      </c>
      <c r="Q68" s="132">
        <f t="shared" si="8"/>
        <v>134.37759042849194</v>
      </c>
      <c r="R68" s="132">
        <f t="shared" si="9"/>
        <v>123553.06</v>
      </c>
      <c r="S68" s="132">
        <f t="shared" si="10"/>
        <v>482953.06</v>
      </c>
      <c r="T68" s="131">
        <v>482953.06</v>
      </c>
      <c r="U68" s="141">
        <f t="shared" si="11"/>
        <v>0</v>
      </c>
    </row>
    <row r="69" spans="1:21" s="112" customFormat="1" ht="195" x14ac:dyDescent="0.2">
      <c r="A69" s="116" t="s">
        <v>210</v>
      </c>
      <c r="B69" s="131">
        <v>0</v>
      </c>
      <c r="C69" s="131">
        <v>0</v>
      </c>
      <c r="D69" s="132">
        <v>0</v>
      </c>
      <c r="E69" s="132">
        <f t="shared" si="17"/>
        <v>0</v>
      </c>
      <c r="F69" s="131">
        <v>0</v>
      </c>
      <c r="G69" s="132">
        <f t="shared" si="18"/>
        <v>0</v>
      </c>
      <c r="H69" s="132">
        <v>0</v>
      </c>
      <c r="I69" s="136">
        <v>100000</v>
      </c>
      <c r="J69" s="131">
        <v>156451</v>
      </c>
      <c r="K69" s="131">
        <v>156451</v>
      </c>
      <c r="L69" s="131">
        <f t="shared" si="4"/>
        <v>0</v>
      </c>
      <c r="M69" s="132">
        <f t="shared" si="5"/>
        <v>1.5630628930480288E-3</v>
      </c>
      <c r="N69" s="132">
        <f t="shared" si="6"/>
        <v>56451</v>
      </c>
      <c r="O69" s="131">
        <v>162999</v>
      </c>
      <c r="P69" s="132">
        <f t="shared" si="7"/>
        <v>1.6321697447908977E-3</v>
      </c>
      <c r="Q69" s="132">
        <f t="shared" si="8"/>
        <v>104.18533598379045</v>
      </c>
      <c r="R69" s="132">
        <f t="shared" si="9"/>
        <v>6548</v>
      </c>
      <c r="S69" s="132">
        <f t="shared" si="10"/>
        <v>162999</v>
      </c>
      <c r="T69" s="131">
        <f>105000+57999</f>
        <v>162999</v>
      </c>
      <c r="U69" s="141">
        <f t="shared" si="11"/>
        <v>0</v>
      </c>
    </row>
    <row r="70" spans="1:21" s="112" customFormat="1" ht="180" x14ac:dyDescent="0.2">
      <c r="A70" s="116" t="s">
        <v>226</v>
      </c>
      <c r="B70" s="131">
        <v>0</v>
      </c>
      <c r="C70" s="131">
        <v>0</v>
      </c>
      <c r="D70" s="132">
        <v>0</v>
      </c>
      <c r="E70" s="132">
        <f t="shared" si="17"/>
        <v>0</v>
      </c>
      <c r="F70" s="131">
        <v>0</v>
      </c>
      <c r="G70" s="132">
        <f t="shared" si="18"/>
        <v>0</v>
      </c>
      <c r="H70" s="132">
        <v>0</v>
      </c>
      <c r="I70" s="131">
        <v>0</v>
      </c>
      <c r="J70" s="131">
        <v>100000</v>
      </c>
      <c r="K70" s="131">
        <v>100000</v>
      </c>
      <c r="L70" s="131">
        <f t="shared" si="4"/>
        <v>0</v>
      </c>
      <c r="M70" s="132">
        <f t="shared" si="5"/>
        <v>9.9907504141745897E-4</v>
      </c>
      <c r="N70" s="132">
        <f t="shared" si="6"/>
        <v>100000</v>
      </c>
      <c r="O70" s="131">
        <v>80000</v>
      </c>
      <c r="P70" s="132">
        <f t="shared" si="7"/>
        <v>8.0106981995761847E-4</v>
      </c>
      <c r="Q70" s="132">
        <f t="shared" si="8"/>
        <v>80</v>
      </c>
      <c r="R70" s="132">
        <f t="shared" si="9"/>
        <v>-20000</v>
      </c>
      <c r="S70" s="132">
        <f t="shared" si="10"/>
        <v>80000</v>
      </c>
      <c r="T70" s="131">
        <v>80000</v>
      </c>
      <c r="U70" s="141">
        <f t="shared" si="11"/>
        <v>0</v>
      </c>
    </row>
    <row r="71" spans="1:21" s="112" customFormat="1" ht="150" x14ac:dyDescent="0.2">
      <c r="A71" s="116" t="s">
        <v>227</v>
      </c>
      <c r="B71" s="131">
        <v>0</v>
      </c>
      <c r="C71" s="131">
        <v>0</v>
      </c>
      <c r="D71" s="132">
        <v>0</v>
      </c>
      <c r="E71" s="132">
        <f t="shared" si="17"/>
        <v>0</v>
      </c>
      <c r="F71" s="131">
        <v>0</v>
      </c>
      <c r="G71" s="132">
        <f t="shared" si="18"/>
        <v>0</v>
      </c>
      <c r="H71" s="132">
        <v>0</v>
      </c>
      <c r="I71" s="131">
        <v>0</v>
      </c>
      <c r="J71" s="131">
        <v>53000</v>
      </c>
      <c r="K71" s="131">
        <v>53000</v>
      </c>
      <c r="L71" s="131">
        <f t="shared" si="4"/>
        <v>0</v>
      </c>
      <c r="M71" s="132">
        <f t="shared" si="5"/>
        <v>5.2950977195125319E-4</v>
      </c>
      <c r="N71" s="132">
        <f t="shared" si="6"/>
        <v>53000</v>
      </c>
      <c r="O71" s="131">
        <v>103000</v>
      </c>
      <c r="P71" s="132">
        <f t="shared" si="7"/>
        <v>1.0313773931954337E-3</v>
      </c>
      <c r="Q71" s="132">
        <f t="shared" si="8"/>
        <v>194.33962264150944</v>
      </c>
      <c r="R71" s="132">
        <f t="shared" si="9"/>
        <v>50000</v>
      </c>
      <c r="S71" s="132">
        <f t="shared" si="10"/>
        <v>103000</v>
      </c>
      <c r="T71" s="131">
        <f>50000+53000</f>
        <v>103000</v>
      </c>
      <c r="U71" s="141">
        <f t="shared" si="11"/>
        <v>0</v>
      </c>
    </row>
    <row r="72" spans="1:21" s="112" customFormat="1" ht="195" customHeight="1" x14ac:dyDescent="0.2">
      <c r="A72" s="116" t="s">
        <v>211</v>
      </c>
      <c r="B72" s="131">
        <v>0</v>
      </c>
      <c r="C72" s="131">
        <v>0</v>
      </c>
      <c r="D72" s="132">
        <v>0</v>
      </c>
      <c r="E72" s="132">
        <f t="shared" si="17"/>
        <v>0</v>
      </c>
      <c r="F72" s="131">
        <v>0</v>
      </c>
      <c r="G72" s="132">
        <f t="shared" si="18"/>
        <v>0</v>
      </c>
      <c r="H72" s="132">
        <v>0</v>
      </c>
      <c r="I72" s="131">
        <v>0</v>
      </c>
      <c r="J72" s="131">
        <v>21000</v>
      </c>
      <c r="K72" s="131">
        <v>21000</v>
      </c>
      <c r="L72" s="131">
        <f t="shared" si="4"/>
        <v>0</v>
      </c>
      <c r="M72" s="132">
        <f t="shared" si="5"/>
        <v>2.0980575869766638E-4</v>
      </c>
      <c r="N72" s="132">
        <f t="shared" si="6"/>
        <v>21000</v>
      </c>
      <c r="O72" s="131">
        <v>17500</v>
      </c>
      <c r="P72" s="132">
        <f t="shared" si="7"/>
        <v>1.75234023115729E-4</v>
      </c>
      <c r="Q72" s="132">
        <f t="shared" si="8"/>
        <v>83.333333333333343</v>
      </c>
      <c r="R72" s="132">
        <f t="shared" si="9"/>
        <v>-3500</v>
      </c>
      <c r="S72" s="132">
        <f t="shared" si="10"/>
        <v>17500</v>
      </c>
      <c r="T72" s="131">
        <v>17500</v>
      </c>
      <c r="U72" s="141">
        <f t="shared" si="11"/>
        <v>0</v>
      </c>
    </row>
    <row r="73" spans="1:21" s="112" customFormat="1" ht="165" x14ac:dyDescent="0.2">
      <c r="A73" s="116" t="s">
        <v>228</v>
      </c>
      <c r="B73" s="131">
        <v>0</v>
      </c>
      <c r="C73" s="131">
        <v>0</v>
      </c>
      <c r="D73" s="132">
        <v>0</v>
      </c>
      <c r="E73" s="132">
        <f t="shared" si="17"/>
        <v>0</v>
      </c>
      <c r="F73" s="131">
        <v>0</v>
      </c>
      <c r="G73" s="132">
        <f t="shared" si="18"/>
        <v>0</v>
      </c>
      <c r="H73" s="132">
        <v>0</v>
      </c>
      <c r="I73" s="131">
        <v>0</v>
      </c>
      <c r="J73" s="131">
        <v>7500</v>
      </c>
      <c r="K73" s="131">
        <v>7500</v>
      </c>
      <c r="L73" s="131">
        <f t="shared" si="4"/>
        <v>0</v>
      </c>
      <c r="M73" s="132">
        <f t="shared" si="5"/>
        <v>7.4930628106309425E-5</v>
      </c>
      <c r="N73" s="132">
        <f t="shared" si="6"/>
        <v>7500</v>
      </c>
      <c r="O73" s="131">
        <v>13500</v>
      </c>
      <c r="P73" s="132">
        <f t="shared" si="7"/>
        <v>1.3518053211784809E-4</v>
      </c>
      <c r="Q73" s="132">
        <f t="shared" si="8"/>
        <v>180</v>
      </c>
      <c r="R73" s="132">
        <f t="shared" si="9"/>
        <v>6000</v>
      </c>
      <c r="S73" s="132">
        <f t="shared" si="10"/>
        <v>13500</v>
      </c>
      <c r="T73" s="131">
        <v>13500</v>
      </c>
      <c r="U73" s="141">
        <f t="shared" si="11"/>
        <v>0</v>
      </c>
    </row>
    <row r="74" spans="1:21" s="112" customFormat="1" ht="120" x14ac:dyDescent="0.2">
      <c r="A74" s="116" t="s">
        <v>229</v>
      </c>
      <c r="B74" s="131">
        <v>0</v>
      </c>
      <c r="C74" s="131">
        <v>0</v>
      </c>
      <c r="D74" s="132">
        <v>0</v>
      </c>
      <c r="E74" s="132">
        <f t="shared" si="17"/>
        <v>0</v>
      </c>
      <c r="F74" s="131">
        <v>0</v>
      </c>
      <c r="G74" s="132">
        <f t="shared" si="18"/>
        <v>0</v>
      </c>
      <c r="H74" s="132">
        <v>0</v>
      </c>
      <c r="I74" s="131">
        <v>0</v>
      </c>
      <c r="J74" s="131">
        <v>1253200</v>
      </c>
      <c r="K74" s="131">
        <v>1253200</v>
      </c>
      <c r="L74" s="131">
        <f t="shared" ref="L74:L94" si="19">K74-J74</f>
        <v>0</v>
      </c>
      <c r="M74" s="132">
        <f t="shared" ref="M74:M94" si="20">K74/K$94*100</f>
        <v>1.2520408419043595E-2</v>
      </c>
      <c r="N74" s="132">
        <f t="shared" ref="N74:N94" si="21">K74-I74</f>
        <v>1253200</v>
      </c>
      <c r="O74" s="131">
        <v>1110310.5900000001</v>
      </c>
      <c r="P74" s="132">
        <f t="shared" ref="P74:P94" si="22">O74/O$94*100</f>
        <v>1.1117953805354214E-2</v>
      </c>
      <c r="Q74" s="132">
        <f t="shared" ref="Q74:Q94" si="23">O74/K74*100</f>
        <v>88.59803622725822</v>
      </c>
      <c r="R74" s="132">
        <f t="shared" ref="R74:R94" si="24">O74-K74</f>
        <v>-142889.40999999992</v>
      </c>
      <c r="S74" s="132">
        <f t="shared" ref="S74:S94" si="25">O74-F74</f>
        <v>1110310.5900000001</v>
      </c>
      <c r="T74" s="131">
        <f>100000+3000+1007310.59</f>
        <v>1110310.5899999999</v>
      </c>
      <c r="U74" s="141">
        <f t="shared" ref="U74:U94" si="26">T74-O74</f>
        <v>0</v>
      </c>
    </row>
    <row r="75" spans="1:21" s="112" customFormat="1" ht="94.5" customHeight="1" x14ac:dyDescent="0.2">
      <c r="A75" s="116" t="s">
        <v>212</v>
      </c>
      <c r="B75" s="131">
        <v>0</v>
      </c>
      <c r="C75" s="131">
        <v>0</v>
      </c>
      <c r="D75" s="132">
        <v>0</v>
      </c>
      <c r="E75" s="132">
        <f t="shared" si="17"/>
        <v>0</v>
      </c>
      <c r="F75" s="131">
        <v>0</v>
      </c>
      <c r="G75" s="132">
        <f t="shared" si="18"/>
        <v>0</v>
      </c>
      <c r="H75" s="132">
        <v>0</v>
      </c>
      <c r="I75" s="131">
        <v>9000000</v>
      </c>
      <c r="J75" s="131">
        <v>4800000</v>
      </c>
      <c r="K75" s="131">
        <v>4800000</v>
      </c>
      <c r="L75" s="131">
        <f t="shared" si="19"/>
        <v>0</v>
      </c>
      <c r="M75" s="132">
        <f t="shared" si="20"/>
        <v>4.7955601988038027E-2</v>
      </c>
      <c r="N75" s="132">
        <f t="shared" si="21"/>
        <v>-4200000</v>
      </c>
      <c r="O75" s="131">
        <v>6120773.25</v>
      </c>
      <c r="P75" s="132">
        <f t="shared" si="22"/>
        <v>6.1289584067236336E-2</v>
      </c>
      <c r="Q75" s="132">
        <f t="shared" si="23"/>
        <v>127.516109375</v>
      </c>
      <c r="R75" s="132">
        <f t="shared" si="24"/>
        <v>1320773.25</v>
      </c>
      <c r="S75" s="132">
        <f t="shared" si="25"/>
        <v>6120773.25</v>
      </c>
      <c r="T75" s="131">
        <v>6120773.25</v>
      </c>
      <c r="U75" s="141">
        <f t="shared" si="26"/>
        <v>0</v>
      </c>
    </row>
    <row r="76" spans="1:21" s="112" customFormat="1" ht="165" x14ac:dyDescent="0.2">
      <c r="A76" s="116" t="s">
        <v>230</v>
      </c>
      <c r="B76" s="131">
        <v>0</v>
      </c>
      <c r="C76" s="131">
        <v>0</v>
      </c>
      <c r="D76" s="132">
        <v>0</v>
      </c>
      <c r="E76" s="132">
        <f t="shared" si="17"/>
        <v>0</v>
      </c>
      <c r="F76" s="131">
        <v>0</v>
      </c>
      <c r="G76" s="132">
        <f t="shared" si="18"/>
        <v>0</v>
      </c>
      <c r="H76" s="132">
        <v>0</v>
      </c>
      <c r="I76" s="131">
        <v>0</v>
      </c>
      <c r="J76" s="131">
        <v>3750351</v>
      </c>
      <c r="K76" s="131">
        <v>3750351</v>
      </c>
      <c r="L76" s="131">
        <f t="shared" si="19"/>
        <v>0</v>
      </c>
      <c r="M76" s="132">
        <f t="shared" si="20"/>
        <v>3.7468820806550084E-2</v>
      </c>
      <c r="N76" s="132">
        <f t="shared" si="21"/>
        <v>3750351</v>
      </c>
      <c r="O76" s="131">
        <v>4493716.34</v>
      </c>
      <c r="P76" s="132">
        <f t="shared" si="22"/>
        <v>4.4997256742805095E-2</v>
      </c>
      <c r="Q76" s="132">
        <f t="shared" si="23"/>
        <v>119.8212204670976</v>
      </c>
      <c r="R76" s="132">
        <f t="shared" si="24"/>
        <v>743365.33999999985</v>
      </c>
      <c r="S76" s="132">
        <f t="shared" si="25"/>
        <v>4493716.34</v>
      </c>
      <c r="T76" s="131">
        <f>50000+206000+4237716.34</f>
        <v>4493716.34</v>
      </c>
      <c r="U76" s="141">
        <f t="shared" si="26"/>
        <v>0</v>
      </c>
    </row>
    <row r="77" spans="1:21" s="112" customFormat="1" ht="105" x14ac:dyDescent="0.2">
      <c r="A77" s="116" t="s">
        <v>213</v>
      </c>
      <c r="B77" s="131">
        <v>0</v>
      </c>
      <c r="C77" s="131">
        <v>0</v>
      </c>
      <c r="D77" s="132">
        <v>0</v>
      </c>
      <c r="E77" s="132">
        <f t="shared" si="17"/>
        <v>0</v>
      </c>
      <c r="F77" s="131">
        <v>0</v>
      </c>
      <c r="G77" s="132">
        <f t="shared" si="18"/>
        <v>0</v>
      </c>
      <c r="H77" s="132">
        <v>0</v>
      </c>
      <c r="I77" s="131">
        <v>400000</v>
      </c>
      <c r="J77" s="131">
        <v>290000</v>
      </c>
      <c r="K77" s="131">
        <v>290000</v>
      </c>
      <c r="L77" s="131">
        <f t="shared" si="19"/>
        <v>0</v>
      </c>
      <c r="M77" s="132">
        <f t="shared" si="20"/>
        <v>2.8973176201106308E-3</v>
      </c>
      <c r="N77" s="132">
        <f t="shared" si="21"/>
        <v>-110000</v>
      </c>
      <c r="O77" s="131">
        <v>340338.33</v>
      </c>
      <c r="P77" s="132">
        <f t="shared" si="22"/>
        <v>3.4079345592222068E-3</v>
      </c>
      <c r="Q77" s="132">
        <f t="shared" si="23"/>
        <v>117.35804482758621</v>
      </c>
      <c r="R77" s="132">
        <f t="shared" si="24"/>
        <v>50338.330000000016</v>
      </c>
      <c r="S77" s="132">
        <f t="shared" si="25"/>
        <v>340338.33</v>
      </c>
      <c r="T77" s="131">
        <f>10000+330338.33</f>
        <v>340338.33</v>
      </c>
      <c r="U77" s="141">
        <f t="shared" si="26"/>
        <v>0</v>
      </c>
    </row>
    <row r="78" spans="1:21" s="112" customFormat="1" ht="120" x14ac:dyDescent="0.2">
      <c r="A78" s="116" t="s">
        <v>186</v>
      </c>
      <c r="B78" s="131">
        <v>0</v>
      </c>
      <c r="C78" s="131">
        <v>0</v>
      </c>
      <c r="D78" s="132">
        <v>0</v>
      </c>
      <c r="E78" s="132">
        <f t="shared" si="17"/>
        <v>0</v>
      </c>
      <c r="F78" s="131">
        <v>0</v>
      </c>
      <c r="G78" s="132">
        <f t="shared" si="18"/>
        <v>0</v>
      </c>
      <c r="H78" s="132">
        <v>0</v>
      </c>
      <c r="I78" s="131">
        <v>974700</v>
      </c>
      <c r="J78" s="131">
        <v>2581826</v>
      </c>
      <c r="K78" s="131">
        <v>2581826</v>
      </c>
      <c r="L78" s="131">
        <f t="shared" si="19"/>
        <v>0</v>
      </c>
      <c r="M78" s="132">
        <f t="shared" si="20"/>
        <v>2.5794379178826723E-2</v>
      </c>
      <c r="N78" s="132">
        <f t="shared" si="21"/>
        <v>1607126</v>
      </c>
      <c r="O78" s="131">
        <v>3701957.53</v>
      </c>
      <c r="P78" s="132">
        <f t="shared" si="22"/>
        <v>3.7069080650598114E-2</v>
      </c>
      <c r="Q78" s="132">
        <f t="shared" si="23"/>
        <v>143.3852447841179</v>
      </c>
      <c r="R78" s="132">
        <f t="shared" si="24"/>
        <v>1120131.5299999998</v>
      </c>
      <c r="S78" s="132">
        <f t="shared" si="25"/>
        <v>3701957.53</v>
      </c>
      <c r="T78" s="131">
        <f>206.07+5657.23+2424093.24+1272000.99</f>
        <v>3701957.5300000003</v>
      </c>
      <c r="U78" s="141">
        <f t="shared" si="26"/>
        <v>0</v>
      </c>
    </row>
    <row r="79" spans="1:21" s="112" customFormat="1" ht="105" x14ac:dyDescent="0.2">
      <c r="A79" s="116" t="s">
        <v>231</v>
      </c>
      <c r="B79" s="131">
        <v>0</v>
      </c>
      <c r="C79" s="131">
        <v>0</v>
      </c>
      <c r="D79" s="132">
        <v>0</v>
      </c>
      <c r="E79" s="132">
        <f t="shared" si="17"/>
        <v>0</v>
      </c>
      <c r="F79" s="131">
        <v>0</v>
      </c>
      <c r="G79" s="132">
        <f t="shared" si="18"/>
        <v>0</v>
      </c>
      <c r="H79" s="132">
        <v>0</v>
      </c>
      <c r="I79" s="131">
        <v>1540000</v>
      </c>
      <c r="J79" s="131">
        <v>2770240</v>
      </c>
      <c r="K79" s="131">
        <v>2770240</v>
      </c>
      <c r="L79" s="131">
        <f t="shared" si="19"/>
        <v>0</v>
      </c>
      <c r="M79" s="132">
        <f t="shared" si="20"/>
        <v>2.7676776427363013E-2</v>
      </c>
      <c r="N79" s="132">
        <f t="shared" si="21"/>
        <v>1230240</v>
      </c>
      <c r="O79" s="131">
        <v>1612405.92</v>
      </c>
      <c r="P79" s="132">
        <f t="shared" si="22"/>
        <v>1.6145621500412474E-2</v>
      </c>
      <c r="Q79" s="132">
        <f t="shared" si="23"/>
        <v>58.204557005891189</v>
      </c>
      <c r="R79" s="132">
        <f t="shared" si="24"/>
        <v>-1157834.08</v>
      </c>
      <c r="S79" s="132">
        <f t="shared" si="25"/>
        <v>1612405.92</v>
      </c>
      <c r="T79" s="131">
        <f>346152.85+370.58+57895.24+1104001.66+103985.59</f>
        <v>1612405.92</v>
      </c>
      <c r="U79" s="141">
        <f t="shared" si="26"/>
        <v>0</v>
      </c>
    </row>
    <row r="80" spans="1:21" s="112" customFormat="1" ht="108" customHeight="1" x14ac:dyDescent="0.2">
      <c r="A80" s="116" t="s">
        <v>214</v>
      </c>
      <c r="B80" s="131">
        <v>0</v>
      </c>
      <c r="C80" s="131">
        <v>0</v>
      </c>
      <c r="D80" s="132">
        <v>0</v>
      </c>
      <c r="E80" s="132">
        <f t="shared" si="17"/>
        <v>0</v>
      </c>
      <c r="F80" s="131">
        <v>0</v>
      </c>
      <c r="G80" s="132">
        <f t="shared" si="18"/>
        <v>0</v>
      </c>
      <c r="H80" s="132">
        <v>0</v>
      </c>
      <c r="I80" s="131">
        <v>0</v>
      </c>
      <c r="J80" s="131">
        <v>3455681</v>
      </c>
      <c r="K80" s="131">
        <v>3455681</v>
      </c>
      <c r="L80" s="131">
        <f t="shared" si="19"/>
        <v>0</v>
      </c>
      <c r="M80" s="132">
        <f t="shared" si="20"/>
        <v>3.4524846382005259E-2</v>
      </c>
      <c r="N80" s="132">
        <f t="shared" si="21"/>
        <v>3455681</v>
      </c>
      <c r="O80" s="131">
        <v>3988594.01</v>
      </c>
      <c r="P80" s="132">
        <f t="shared" si="22"/>
        <v>3.9939278568434183E-2</v>
      </c>
      <c r="Q80" s="132">
        <f t="shared" si="23"/>
        <v>115.42136007345584</v>
      </c>
      <c r="R80" s="132">
        <f t="shared" si="24"/>
        <v>532913.00999999978</v>
      </c>
      <c r="S80" s="132">
        <f t="shared" si="25"/>
        <v>3988594.01</v>
      </c>
      <c r="T80" s="131">
        <f>241599.3+70000+8847.17+95739.91+800+300+17500+94538.29+377688.37+2888775.18+131980.9+180709.02-78955.55-40928.58</f>
        <v>3988594.0100000002</v>
      </c>
      <c r="U80" s="141">
        <f t="shared" si="26"/>
        <v>0</v>
      </c>
    </row>
    <row r="81" spans="1:21" s="106" customFormat="1" ht="20.25" customHeight="1" x14ac:dyDescent="0.2">
      <c r="A81" s="109" t="s">
        <v>39</v>
      </c>
      <c r="B81" s="140">
        <v>0</v>
      </c>
      <c r="C81" s="140">
        <f>C82</f>
        <v>0</v>
      </c>
      <c r="D81" s="130">
        <f>C81/C$94*100</f>
        <v>0</v>
      </c>
      <c r="E81" s="130">
        <f t="shared" si="15"/>
        <v>0</v>
      </c>
      <c r="F81" s="140">
        <f>F82</f>
        <v>869005.84</v>
      </c>
      <c r="G81" s="130">
        <f>F81/F$94*100</f>
        <v>1.0626440498718064E-2</v>
      </c>
      <c r="H81" s="130">
        <v>0</v>
      </c>
      <c r="I81" s="140">
        <v>0</v>
      </c>
      <c r="J81" s="140">
        <f>J82</f>
        <v>0</v>
      </c>
      <c r="K81" s="140">
        <f>K82</f>
        <v>0</v>
      </c>
      <c r="L81" s="140">
        <f t="shared" si="19"/>
        <v>0</v>
      </c>
      <c r="M81" s="130">
        <f t="shared" si="20"/>
        <v>0</v>
      </c>
      <c r="N81" s="130">
        <f t="shared" si="21"/>
        <v>0</v>
      </c>
      <c r="O81" s="140">
        <f>O82+O83</f>
        <v>-513130.76999999996</v>
      </c>
      <c r="P81" s="130">
        <f t="shared" si="22"/>
        <v>-5.1381696692326759E-3</v>
      </c>
      <c r="Q81" s="130">
        <v>0</v>
      </c>
      <c r="R81" s="130">
        <f t="shared" si="24"/>
        <v>-513130.76999999996</v>
      </c>
      <c r="S81" s="130">
        <f t="shared" si="25"/>
        <v>-1382136.6099999999</v>
      </c>
      <c r="T81" s="140">
        <f>T82+T83</f>
        <v>-513130.76999999996</v>
      </c>
      <c r="U81" s="141">
        <f t="shared" si="26"/>
        <v>0</v>
      </c>
    </row>
    <row r="82" spans="1:21" s="112" customFormat="1" ht="45" x14ac:dyDescent="0.2">
      <c r="A82" s="116" t="s">
        <v>58</v>
      </c>
      <c r="B82" s="131">
        <v>0</v>
      </c>
      <c r="C82" s="131">
        <v>0</v>
      </c>
      <c r="D82" s="132">
        <f>C82/C$94*100</f>
        <v>0</v>
      </c>
      <c r="E82" s="132">
        <f t="shared" si="15"/>
        <v>0</v>
      </c>
      <c r="F82" s="131">
        <v>869005.84</v>
      </c>
      <c r="G82" s="132">
        <f>F82/F$94*100</f>
        <v>1.0626440498718064E-2</v>
      </c>
      <c r="H82" s="132">
        <v>0</v>
      </c>
      <c r="I82" s="131">
        <v>0</v>
      </c>
      <c r="J82" s="131">
        <v>0</v>
      </c>
      <c r="K82" s="131">
        <v>0</v>
      </c>
      <c r="L82" s="131">
        <f t="shared" si="19"/>
        <v>0</v>
      </c>
      <c r="M82" s="132">
        <f t="shared" si="20"/>
        <v>0</v>
      </c>
      <c r="N82" s="132">
        <f t="shared" si="21"/>
        <v>0</v>
      </c>
      <c r="O82" s="131">
        <v>-966410.6</v>
      </c>
      <c r="P82" s="132">
        <f t="shared" si="22"/>
        <v>-9.6770295668391747E-3</v>
      </c>
      <c r="Q82" s="132">
        <v>0</v>
      </c>
      <c r="R82" s="132">
        <f t="shared" si="24"/>
        <v>-966410.6</v>
      </c>
      <c r="S82" s="132">
        <f t="shared" si="25"/>
        <v>-1835416.44</v>
      </c>
      <c r="T82" s="131">
        <v>-966410.6</v>
      </c>
      <c r="U82" s="141">
        <f t="shared" si="26"/>
        <v>0</v>
      </c>
    </row>
    <row r="83" spans="1:21" s="112" customFormat="1" ht="30" x14ac:dyDescent="0.2">
      <c r="A83" s="116" t="s">
        <v>182</v>
      </c>
      <c r="B83" s="131">
        <v>0</v>
      </c>
      <c r="C83" s="131">
        <v>0</v>
      </c>
      <c r="D83" s="132">
        <v>0</v>
      </c>
      <c r="E83" s="132">
        <v>0</v>
      </c>
      <c r="F83" s="131">
        <v>0</v>
      </c>
      <c r="G83" s="132">
        <v>0</v>
      </c>
      <c r="H83" s="132">
        <v>0</v>
      </c>
      <c r="I83" s="131">
        <v>0</v>
      </c>
      <c r="J83" s="131">
        <v>0</v>
      </c>
      <c r="K83" s="131">
        <v>0</v>
      </c>
      <c r="L83" s="131">
        <v>0</v>
      </c>
      <c r="M83" s="132">
        <v>0</v>
      </c>
      <c r="N83" s="132">
        <v>0</v>
      </c>
      <c r="O83" s="131">
        <v>453279.83</v>
      </c>
      <c r="P83" s="132">
        <f t="shared" si="22"/>
        <v>4.5388598976064979E-3</v>
      </c>
      <c r="Q83" s="132">
        <v>0</v>
      </c>
      <c r="R83" s="132">
        <f t="shared" ref="R83" si="27">O83-K83</f>
        <v>453279.83</v>
      </c>
      <c r="S83" s="132">
        <f t="shared" ref="S83" si="28">O83-F83</f>
        <v>453279.83</v>
      </c>
      <c r="T83" s="131">
        <v>453279.83</v>
      </c>
      <c r="U83" s="141">
        <f t="shared" si="26"/>
        <v>0</v>
      </c>
    </row>
    <row r="84" spans="1:21" s="80" customFormat="1" ht="28.5" x14ac:dyDescent="0.2">
      <c r="A84" s="84" t="s">
        <v>40</v>
      </c>
      <c r="B84" s="140">
        <f>SUM(B85:B93)</f>
        <v>4516604851</v>
      </c>
      <c r="C84" s="140">
        <f>+C90+C91+C85+C86+C87+C88+C89+C93+C92</f>
        <v>4859538701.1700001</v>
      </c>
      <c r="D84" s="130">
        <f t="shared" ref="D84:D89" si="29">C84/C$94*100</f>
        <v>62.053932647848228</v>
      </c>
      <c r="E84" s="130">
        <f t="shared" si="15"/>
        <v>342933850.17000008</v>
      </c>
      <c r="F84" s="140">
        <f>SUM(F85:F93)</f>
        <v>5097540349.6199989</v>
      </c>
      <c r="G84" s="130">
        <f t="shared" ref="G84:G89" si="30">F84/F$94*100</f>
        <v>62.334114135586702</v>
      </c>
      <c r="H84" s="130">
        <f t="shared" ref="H84:H94" si="31">F84/C84*100</f>
        <v>104.89761812973516</v>
      </c>
      <c r="I84" s="140">
        <f>SUM(I85:I93)</f>
        <v>6676538900</v>
      </c>
      <c r="J84" s="140">
        <f>+J90+J91+J85+J86+J87+J88+J89+J93+J92</f>
        <v>7124966350.2300005</v>
      </c>
      <c r="K84" s="140">
        <f>+K90+K91+K85+K86+K87+K88+K89+K93+K92</f>
        <v>6907485562.2300005</v>
      </c>
      <c r="L84" s="140">
        <f t="shared" si="19"/>
        <v>-217480788</v>
      </c>
      <c r="M84" s="130">
        <f t="shared" si="20"/>
        <v>69.010964241754365</v>
      </c>
      <c r="N84" s="130">
        <f t="shared" si="21"/>
        <v>230946662.2300005</v>
      </c>
      <c r="O84" s="140">
        <f>SUM(O85:O93)</f>
        <v>6726729451.6300011</v>
      </c>
      <c r="P84" s="130">
        <f t="shared" si="22"/>
        <v>67.357249384010672</v>
      </c>
      <c r="Q84" s="130">
        <f t="shared" si="23"/>
        <v>97.383185111694331</v>
      </c>
      <c r="R84" s="130">
        <f t="shared" si="24"/>
        <v>-180756110.59999943</v>
      </c>
      <c r="S84" s="130">
        <f t="shared" si="25"/>
        <v>1629189102.0100021</v>
      </c>
      <c r="T84" s="140">
        <f>SUM(T85:T93)</f>
        <v>6726729451.6300011</v>
      </c>
      <c r="U84" s="141">
        <f t="shared" si="26"/>
        <v>0</v>
      </c>
    </row>
    <row r="85" spans="1:21" ht="29.25" customHeight="1" x14ac:dyDescent="0.25">
      <c r="A85" s="82" t="s">
        <v>187</v>
      </c>
      <c r="B85" s="131">
        <v>1050111700</v>
      </c>
      <c r="C85" s="131">
        <v>1203958300</v>
      </c>
      <c r="D85" s="132">
        <f t="shared" si="29"/>
        <v>15.37395869304021</v>
      </c>
      <c r="E85" s="132">
        <f t="shared" si="15"/>
        <v>153846600</v>
      </c>
      <c r="F85" s="131">
        <v>1203958300</v>
      </c>
      <c r="G85" s="132">
        <f t="shared" si="30"/>
        <v>14.722330563264977</v>
      </c>
      <c r="H85" s="132">
        <f t="shared" si="31"/>
        <v>100</v>
      </c>
      <c r="I85" s="131">
        <v>976017400</v>
      </c>
      <c r="J85" s="131">
        <v>1123380998.7</v>
      </c>
      <c r="K85" s="131">
        <v>1133667398.7</v>
      </c>
      <c r="L85" s="131">
        <f>K85-J85</f>
        <v>10286400</v>
      </c>
      <c r="M85" s="132">
        <f t="shared" si="20"/>
        <v>11.326188033098255</v>
      </c>
      <c r="N85" s="132">
        <f t="shared" si="21"/>
        <v>157649998.70000005</v>
      </c>
      <c r="O85" s="131">
        <v>1133667398.7</v>
      </c>
      <c r="P85" s="132">
        <f t="shared" si="22"/>
        <v>11.351834237105383</v>
      </c>
      <c r="Q85" s="132">
        <f t="shared" si="23"/>
        <v>100</v>
      </c>
      <c r="R85" s="132">
        <f t="shared" si="24"/>
        <v>0</v>
      </c>
      <c r="S85" s="132">
        <f t="shared" si="25"/>
        <v>-70290901.299999952</v>
      </c>
      <c r="T85" s="131">
        <f>944134000+182555400+1633398.7+5344600</f>
        <v>1133667398.7</v>
      </c>
      <c r="U85" s="141">
        <f t="shared" si="26"/>
        <v>0</v>
      </c>
    </row>
    <row r="86" spans="1:21" ht="45" x14ac:dyDescent="0.2">
      <c r="A86" s="86" t="s">
        <v>188</v>
      </c>
      <c r="B86" s="131">
        <v>365000400</v>
      </c>
      <c r="C86" s="131">
        <v>654435811.16999996</v>
      </c>
      <c r="D86" s="132">
        <f t="shared" si="29"/>
        <v>8.3568252556370464</v>
      </c>
      <c r="E86" s="132">
        <f t="shared" si="15"/>
        <v>289435411.16999996</v>
      </c>
      <c r="F86" s="131">
        <v>619408634.90999997</v>
      </c>
      <c r="G86" s="132">
        <f t="shared" si="30"/>
        <v>7.574297778324822</v>
      </c>
      <c r="H86" s="132">
        <f t="shared" si="31"/>
        <v>94.647729286485955</v>
      </c>
      <c r="I86" s="131">
        <v>2057567500</v>
      </c>
      <c r="J86" s="131">
        <v>2295497579.5300002</v>
      </c>
      <c r="K86" s="131">
        <v>2161795757.5300002</v>
      </c>
      <c r="L86" s="131">
        <f t="shared" si="19"/>
        <v>-133701822</v>
      </c>
      <c r="M86" s="132">
        <f t="shared" si="20"/>
        <v>21.59796185990372</v>
      </c>
      <c r="N86" s="132">
        <f t="shared" si="21"/>
        <v>104228257.53000021</v>
      </c>
      <c r="O86" s="131">
        <v>1614180166.72</v>
      </c>
      <c r="P86" s="132">
        <f t="shared" si="22"/>
        <v>16.163387694169359</v>
      </c>
      <c r="Q86" s="132">
        <f t="shared" si="23"/>
        <v>74.668486192438067</v>
      </c>
      <c r="R86" s="132">
        <f t="shared" si="24"/>
        <v>-547615590.81000018</v>
      </c>
      <c r="S86" s="132">
        <f t="shared" si="25"/>
        <v>994771531.81000006</v>
      </c>
      <c r="T86" s="131">
        <f>72531229.59+1147091778.64+27430549.43+2052776.23+6179630.21+38102319.3+320791883.32</f>
        <v>1614180166.72</v>
      </c>
      <c r="U86" s="141">
        <f t="shared" si="26"/>
        <v>0</v>
      </c>
    </row>
    <row r="87" spans="1:21" ht="30" x14ac:dyDescent="0.2">
      <c r="A87" s="86" t="s">
        <v>189</v>
      </c>
      <c r="B87" s="131">
        <v>3097068500</v>
      </c>
      <c r="C87" s="131">
        <v>3207745226</v>
      </c>
      <c r="D87" s="132">
        <f t="shared" si="29"/>
        <v>40.961337782480449</v>
      </c>
      <c r="E87" s="132">
        <f t="shared" si="15"/>
        <v>110676726</v>
      </c>
      <c r="F87" s="131">
        <v>3204152747.6500001</v>
      </c>
      <c r="G87" s="132">
        <f t="shared" si="30"/>
        <v>39.181253973743978</v>
      </c>
      <c r="H87" s="132">
        <f t="shared" si="31"/>
        <v>99.888006119660574</v>
      </c>
      <c r="I87" s="131">
        <v>3639251000</v>
      </c>
      <c r="J87" s="131">
        <v>3683020048</v>
      </c>
      <c r="K87" s="131">
        <v>3581355882</v>
      </c>
      <c r="L87" s="131">
        <f t="shared" si="19"/>
        <v>-101664166</v>
      </c>
      <c r="M87" s="132">
        <f t="shared" si="20"/>
        <v>35.780432761398103</v>
      </c>
      <c r="N87" s="132">
        <f t="shared" si="21"/>
        <v>-57895118</v>
      </c>
      <c r="O87" s="131">
        <v>3551045509.5500002</v>
      </c>
      <c r="P87" s="132">
        <f t="shared" si="22"/>
        <v>35.557942337456602</v>
      </c>
      <c r="Q87" s="132">
        <f t="shared" si="23"/>
        <v>99.153662091993127</v>
      </c>
      <c r="R87" s="132">
        <f t="shared" si="24"/>
        <v>-30310372.449999809</v>
      </c>
      <c r="S87" s="132">
        <f t="shared" si="25"/>
        <v>346892761.9000001</v>
      </c>
      <c r="T87" s="131">
        <f>3350583222.27+60067000+128150118+107000+945018+11193151.28</f>
        <v>3551045509.5500002</v>
      </c>
      <c r="U87" s="141">
        <f t="shared" si="26"/>
        <v>0</v>
      </c>
    </row>
    <row r="88" spans="1:21" ht="17.25" customHeight="1" x14ac:dyDescent="0.2">
      <c r="A88" s="87" t="s">
        <v>143</v>
      </c>
      <c r="B88" s="131">
        <v>4362800</v>
      </c>
      <c r="C88" s="131">
        <v>17210089</v>
      </c>
      <c r="D88" s="132">
        <f t="shared" si="29"/>
        <v>0.2197644199051958</v>
      </c>
      <c r="E88" s="132">
        <f t="shared" si="15"/>
        <v>12847289</v>
      </c>
      <c r="F88" s="131">
        <v>15655410.529999999</v>
      </c>
      <c r="G88" s="132">
        <f t="shared" si="30"/>
        <v>0.19143863116046406</v>
      </c>
      <c r="H88" s="132">
        <f>F88/C88*100</f>
        <v>90.966470481355444</v>
      </c>
      <c r="I88" s="131">
        <v>3501500</v>
      </c>
      <c r="J88" s="131">
        <v>153858803</v>
      </c>
      <c r="K88" s="131">
        <v>161457603</v>
      </c>
      <c r="L88" s="131">
        <f t="shared" si="19"/>
        <v>7598800</v>
      </c>
      <c r="M88" s="132">
        <f t="shared" si="20"/>
        <v>1.6130826140438863</v>
      </c>
      <c r="N88" s="132">
        <f t="shared" si="21"/>
        <v>157956103</v>
      </c>
      <c r="O88" s="131">
        <v>157260131.43000001</v>
      </c>
      <c r="P88" s="132">
        <f t="shared" si="22"/>
        <v>1.5747043146392687</v>
      </c>
      <c r="Q88" s="132">
        <f t="shared" si="23"/>
        <v>97.400263913245382</v>
      </c>
      <c r="R88" s="132">
        <f t="shared" si="24"/>
        <v>-4197471.5699999928</v>
      </c>
      <c r="S88" s="132">
        <f t="shared" si="25"/>
        <v>141604720.90000001</v>
      </c>
      <c r="T88" s="131">
        <f>26794280.23+130465851.2</f>
        <v>157260131.43000001</v>
      </c>
      <c r="U88" s="141">
        <f t="shared" si="26"/>
        <v>0</v>
      </c>
    </row>
    <row r="89" spans="1:21" ht="30" x14ac:dyDescent="0.2">
      <c r="A89" s="86" t="s">
        <v>190</v>
      </c>
      <c r="B89" s="131">
        <v>61451</v>
      </c>
      <c r="C89" s="131">
        <v>0</v>
      </c>
      <c r="D89" s="132">
        <f t="shared" si="29"/>
        <v>0</v>
      </c>
      <c r="E89" s="132">
        <f t="shared" si="15"/>
        <v>-61451</v>
      </c>
      <c r="F89" s="131">
        <v>0</v>
      </c>
      <c r="G89" s="132">
        <f t="shared" si="30"/>
        <v>0</v>
      </c>
      <c r="H89" s="132">
        <v>0</v>
      </c>
      <c r="I89" s="131">
        <v>0</v>
      </c>
      <c r="J89" s="131">
        <v>-1</v>
      </c>
      <c r="K89" s="131">
        <v>-1</v>
      </c>
      <c r="L89" s="131">
        <f t="shared" si="19"/>
        <v>0</v>
      </c>
      <c r="M89" s="132">
        <f t="shared" si="20"/>
        <v>-9.9907504141745883E-9</v>
      </c>
      <c r="N89" s="132">
        <f t="shared" si="21"/>
        <v>-1</v>
      </c>
      <c r="O89" s="131">
        <v>-1256224.7</v>
      </c>
      <c r="P89" s="132">
        <f t="shared" si="22"/>
        <v>-1.2579046178191415E-2</v>
      </c>
      <c r="Q89" s="132">
        <f t="shared" si="23"/>
        <v>125622470</v>
      </c>
      <c r="R89" s="132">
        <f t="shared" si="24"/>
        <v>-1256223.7</v>
      </c>
      <c r="S89" s="132">
        <f t="shared" si="25"/>
        <v>-1256224.7</v>
      </c>
      <c r="T89" s="131">
        <f>-0.36-1256224.34</f>
        <v>-1256224.7000000002</v>
      </c>
      <c r="U89" s="141">
        <f t="shared" si="26"/>
        <v>0</v>
      </c>
    </row>
    <row r="90" spans="1:21" ht="45" x14ac:dyDescent="0.2">
      <c r="A90" s="126" t="s">
        <v>191</v>
      </c>
      <c r="B90" s="131">
        <v>0</v>
      </c>
      <c r="C90" s="131">
        <v>2060951</v>
      </c>
      <c r="D90" s="132">
        <v>0</v>
      </c>
      <c r="E90" s="132">
        <f t="shared" si="15"/>
        <v>2060951</v>
      </c>
      <c r="F90" s="131">
        <v>405060610</v>
      </c>
      <c r="G90" s="132">
        <v>0</v>
      </c>
      <c r="H90" s="132">
        <v>0</v>
      </c>
      <c r="I90" s="131">
        <v>200000</v>
      </c>
      <c r="J90" s="131">
        <v>260951</v>
      </c>
      <c r="K90" s="131">
        <v>260951</v>
      </c>
      <c r="L90" s="131">
        <f t="shared" si="19"/>
        <v>0</v>
      </c>
      <c r="M90" s="132">
        <f t="shared" si="20"/>
        <v>2.6070963113292728E-3</v>
      </c>
      <c r="N90" s="132">
        <f t="shared" si="21"/>
        <v>60951</v>
      </c>
      <c r="O90" s="131">
        <v>402650000</v>
      </c>
      <c r="P90" s="132">
        <f t="shared" si="22"/>
        <v>4.0318845375741885</v>
      </c>
      <c r="Q90" s="132">
        <f t="shared" si="23"/>
        <v>154300.9990381336</v>
      </c>
      <c r="R90" s="132">
        <f t="shared" si="24"/>
        <v>402389049</v>
      </c>
      <c r="S90" s="132">
        <f t="shared" si="25"/>
        <v>-2410610</v>
      </c>
      <c r="T90" s="131">
        <f>402500000+150000</f>
        <v>402650000</v>
      </c>
      <c r="U90" s="141">
        <f t="shared" si="26"/>
        <v>0</v>
      </c>
    </row>
    <row r="91" spans="1:21" ht="60" x14ac:dyDescent="0.2">
      <c r="A91" s="126" t="s">
        <v>215</v>
      </c>
      <c r="B91" s="131">
        <v>0</v>
      </c>
      <c r="C91" s="131">
        <v>500</v>
      </c>
      <c r="D91" s="132">
        <v>0</v>
      </c>
      <c r="E91" s="132">
        <f t="shared" si="15"/>
        <v>500</v>
      </c>
      <c r="F91" s="131">
        <v>500</v>
      </c>
      <c r="G91" s="132">
        <v>0</v>
      </c>
      <c r="H91" s="132">
        <v>0</v>
      </c>
      <c r="I91" s="131">
        <v>1500</v>
      </c>
      <c r="J91" s="131">
        <v>1500</v>
      </c>
      <c r="K91" s="131">
        <v>1500</v>
      </c>
      <c r="L91" s="131">
        <f t="shared" si="19"/>
        <v>0</v>
      </c>
      <c r="M91" s="132">
        <f t="shared" si="20"/>
        <v>1.4986125621261884E-5</v>
      </c>
      <c r="N91" s="132">
        <f t="shared" si="21"/>
        <v>0</v>
      </c>
      <c r="O91" s="131">
        <v>0</v>
      </c>
      <c r="P91" s="132">
        <f t="shared" si="22"/>
        <v>0</v>
      </c>
      <c r="Q91" s="132">
        <f t="shared" si="23"/>
        <v>0</v>
      </c>
      <c r="R91" s="132">
        <f t="shared" si="24"/>
        <v>-1500</v>
      </c>
      <c r="S91" s="132">
        <f t="shared" si="25"/>
        <v>-500</v>
      </c>
      <c r="T91" s="131">
        <v>0</v>
      </c>
      <c r="U91" s="141">
        <f t="shared" si="26"/>
        <v>0</v>
      </c>
    </row>
    <row r="92" spans="1:21" ht="45" x14ac:dyDescent="0.2">
      <c r="A92" s="86" t="s">
        <v>192</v>
      </c>
      <c r="B92" s="131">
        <v>0</v>
      </c>
      <c r="C92" s="131">
        <v>230543</v>
      </c>
      <c r="D92" s="132">
        <f>C92/C$94*100</f>
        <v>2.9439213625335439E-3</v>
      </c>
      <c r="E92" s="132">
        <f t="shared" si="15"/>
        <v>230543</v>
      </c>
      <c r="F92" s="131">
        <v>230543.26</v>
      </c>
      <c r="G92" s="132">
        <f>F92/F$94*100</f>
        <v>2.8191458814252487E-3</v>
      </c>
      <c r="H92" s="132">
        <f t="shared" si="31"/>
        <v>100.00011277722594</v>
      </c>
      <c r="I92" s="131">
        <v>0</v>
      </c>
      <c r="J92" s="131">
        <v>184607</v>
      </c>
      <c r="K92" s="131">
        <v>184607</v>
      </c>
      <c r="L92" s="131">
        <f t="shared" si="19"/>
        <v>0</v>
      </c>
      <c r="M92" s="132">
        <f t="shared" si="20"/>
        <v>1.8443624617095282E-3</v>
      </c>
      <c r="N92" s="132">
        <f t="shared" si="21"/>
        <v>184607</v>
      </c>
      <c r="O92" s="131">
        <v>684605.56</v>
      </c>
      <c r="P92" s="132">
        <f t="shared" si="22"/>
        <v>6.8552106586398064E-3</v>
      </c>
      <c r="Q92" s="132">
        <f t="shared" si="23"/>
        <v>370.84485420379514</v>
      </c>
      <c r="R92" s="132">
        <f t="shared" si="24"/>
        <v>499998.56000000006</v>
      </c>
      <c r="S92" s="132">
        <f t="shared" si="25"/>
        <v>454062.30000000005</v>
      </c>
      <c r="T92" s="131">
        <f>500000+110996.82+39599.54+34009.2</f>
        <v>684605.56</v>
      </c>
      <c r="U92" s="141">
        <f t="shared" si="26"/>
        <v>0</v>
      </c>
    </row>
    <row r="93" spans="1:21" ht="60.75" customHeight="1" x14ac:dyDescent="0.2">
      <c r="A93" s="86" t="s">
        <v>97</v>
      </c>
      <c r="B93" s="131">
        <v>0</v>
      </c>
      <c r="C93" s="131">
        <v>-226102719</v>
      </c>
      <c r="D93" s="132">
        <f>C93/C$94*100</f>
        <v>-2.887221145690908</v>
      </c>
      <c r="E93" s="132">
        <f t="shared" si="15"/>
        <v>-226102719</v>
      </c>
      <c r="F93" s="131">
        <v>-350926396.73000002</v>
      </c>
      <c r="G93" s="132">
        <f>F93/F$94*100</f>
        <v>-4.291223720983135</v>
      </c>
      <c r="H93" s="132">
        <f t="shared" si="31"/>
        <v>155.20662391061296</v>
      </c>
      <c r="I93" s="131">
        <v>0</v>
      </c>
      <c r="J93" s="131">
        <v>-131238136</v>
      </c>
      <c r="K93" s="131">
        <v>-131238136</v>
      </c>
      <c r="L93" s="131">
        <f t="shared" si="19"/>
        <v>0</v>
      </c>
      <c r="M93" s="132">
        <f t="shared" si="20"/>
        <v>-1.3111674615975011</v>
      </c>
      <c r="N93" s="132">
        <f t="shared" si="21"/>
        <v>-131238136</v>
      </c>
      <c r="O93" s="131">
        <v>-131502135.63</v>
      </c>
      <c r="P93" s="132">
        <f t="shared" si="22"/>
        <v>-1.31677990141458</v>
      </c>
      <c r="Q93" s="132">
        <f t="shared" si="23"/>
        <v>100.20116075863801</v>
      </c>
      <c r="R93" s="132">
        <f t="shared" si="24"/>
        <v>-263999.62999999523</v>
      </c>
      <c r="S93" s="132">
        <f t="shared" si="25"/>
        <v>219424261.10000002</v>
      </c>
      <c r="T93" s="131">
        <f>-150652.5-131351483.13</f>
        <v>-131502135.63</v>
      </c>
      <c r="U93" s="141">
        <f t="shared" si="26"/>
        <v>0</v>
      </c>
    </row>
    <row r="94" spans="1:21" s="80" customFormat="1" ht="14.25" x14ac:dyDescent="0.2">
      <c r="A94" s="85" t="s">
        <v>48</v>
      </c>
      <c r="B94" s="140">
        <f>B9+B25+B84</f>
        <v>7115038251</v>
      </c>
      <c r="C94" s="140">
        <f>C9+C25+C84</f>
        <v>7831153472.1700001</v>
      </c>
      <c r="D94" s="130">
        <f>C94/C$94*100</f>
        <v>100</v>
      </c>
      <c r="E94" s="130">
        <f>C94-B94</f>
        <v>716115221.17000008</v>
      </c>
      <c r="F94" s="140">
        <f>F9+F25+F84</f>
        <v>8177769781.9399986</v>
      </c>
      <c r="G94" s="130">
        <f>F94/F$94*100</f>
        <v>100</v>
      </c>
      <c r="H94" s="130">
        <f t="shared" si="31"/>
        <v>104.4261207624367</v>
      </c>
      <c r="I94" s="140">
        <f>I9+I25+I84</f>
        <v>9680187974</v>
      </c>
      <c r="J94" s="140">
        <f>J9+J25+J84</f>
        <v>10226738937.23</v>
      </c>
      <c r="K94" s="140">
        <f>K9+K25+K84</f>
        <v>10009258149.23</v>
      </c>
      <c r="L94" s="140">
        <f t="shared" si="19"/>
        <v>-217480788</v>
      </c>
      <c r="M94" s="130">
        <f t="shared" si="20"/>
        <v>100</v>
      </c>
      <c r="N94" s="130">
        <f t="shared" si="21"/>
        <v>329070175.22999954</v>
      </c>
      <c r="O94" s="140">
        <f>O9+O25+O84</f>
        <v>9986645109.6900024</v>
      </c>
      <c r="P94" s="130">
        <f t="shared" si="22"/>
        <v>100</v>
      </c>
      <c r="Q94" s="130">
        <f t="shared" si="23"/>
        <v>99.774078765850021</v>
      </c>
      <c r="R94" s="130">
        <f t="shared" si="24"/>
        <v>-22613039.539997101</v>
      </c>
      <c r="S94" s="130">
        <f t="shared" si="25"/>
        <v>1808875327.7500038</v>
      </c>
      <c r="T94" s="140">
        <f>T9+T25+T84</f>
        <v>9986645109.6900024</v>
      </c>
      <c r="U94" s="141">
        <f t="shared" si="26"/>
        <v>0</v>
      </c>
    </row>
    <row r="95" spans="1:21" hidden="1" x14ac:dyDescent="0.25">
      <c r="I95" s="150"/>
      <c r="O95" s="143"/>
    </row>
    <row r="96" spans="1:21" ht="18.75" hidden="1" x14ac:dyDescent="0.3">
      <c r="C96" s="138"/>
      <c r="E96" s="122"/>
      <c r="F96" s="122"/>
      <c r="I96" s="125"/>
      <c r="J96" s="98"/>
      <c r="K96" s="98"/>
      <c r="L96" s="98"/>
      <c r="M96" s="98"/>
      <c r="N96" s="99"/>
      <c r="O96" s="143"/>
    </row>
    <row r="97" spans="1:18" hidden="1" x14ac:dyDescent="0.25">
      <c r="J97" s="99"/>
      <c r="K97" s="99"/>
      <c r="L97" s="99"/>
      <c r="M97" s="99"/>
      <c r="O97" s="142"/>
    </row>
    <row r="98" spans="1:18" hidden="1" x14ac:dyDescent="0.25">
      <c r="C98" s="127"/>
      <c r="J98" s="99"/>
      <c r="K98" s="99"/>
      <c r="L98" s="99"/>
      <c r="M98" s="99"/>
      <c r="O98" s="143"/>
      <c r="R98" s="83"/>
    </row>
    <row r="99" spans="1:18" ht="30" hidden="1" x14ac:dyDescent="0.25">
      <c r="A99" s="82" t="s">
        <v>187</v>
      </c>
      <c r="B99" s="144"/>
      <c r="C99" s="145"/>
      <c r="D99" s="144"/>
      <c r="E99" s="144"/>
      <c r="F99" s="144"/>
      <c r="G99" s="144"/>
      <c r="H99" s="146"/>
      <c r="I99" s="131">
        <v>10286400</v>
      </c>
      <c r="J99" s="131">
        <f>7598800+2687600</f>
        <v>10286400</v>
      </c>
      <c r="K99" s="131">
        <f>I99-J99</f>
        <v>0</v>
      </c>
      <c r="L99" s="99"/>
      <c r="M99" s="99"/>
    </row>
    <row r="100" spans="1:18" ht="45" hidden="1" x14ac:dyDescent="0.25">
      <c r="A100" s="86" t="s">
        <v>188</v>
      </c>
      <c r="B100" s="144"/>
      <c r="C100" s="147"/>
      <c r="D100" s="144"/>
      <c r="E100" s="144"/>
      <c r="F100" s="144"/>
      <c r="G100" s="144"/>
      <c r="H100" s="146"/>
      <c r="I100" s="131">
        <v>-133701822</v>
      </c>
      <c r="J100" s="131">
        <f>-13013970+1682871+830877-7356200+109876300-29400-7500-25143300-59060800-37760100-101855100-1865500</f>
        <v>-133701822</v>
      </c>
      <c r="K100" s="131">
        <f t="shared" ref="K100:K102" si="32">I100-J100</f>
        <v>0</v>
      </c>
      <c r="L100" s="99"/>
      <c r="M100" s="99"/>
      <c r="O100" s="142"/>
      <c r="P100" s="99"/>
    </row>
    <row r="101" spans="1:18" ht="30" hidden="1" x14ac:dyDescent="0.25">
      <c r="A101" s="86" t="s">
        <v>189</v>
      </c>
      <c r="B101" s="144"/>
      <c r="C101" s="148"/>
      <c r="D101" s="148"/>
      <c r="E101" s="148"/>
      <c r="F101" s="148"/>
      <c r="G101" s="148"/>
      <c r="H101" s="149"/>
      <c r="I101" s="131">
        <v>-101664166</v>
      </c>
      <c r="J101" s="131">
        <f>-419000-4.5+4.5-80918400-16538000-3620166-13400-77900-77300</f>
        <v>-101664166</v>
      </c>
      <c r="K101" s="131">
        <f>I101-J101</f>
        <v>0</v>
      </c>
    </row>
    <row r="102" spans="1:18" hidden="1" x14ac:dyDescent="0.25">
      <c r="A102" s="87" t="s">
        <v>143</v>
      </c>
      <c r="B102" s="144"/>
      <c r="C102" s="148"/>
      <c r="D102" s="148"/>
      <c r="E102" s="148"/>
      <c r="F102" s="148"/>
      <c r="G102" s="148"/>
      <c r="H102" s="149"/>
      <c r="I102" s="131">
        <v>7598800</v>
      </c>
      <c r="J102" s="131">
        <v>7598800</v>
      </c>
      <c r="K102" s="131">
        <f t="shared" si="32"/>
        <v>0</v>
      </c>
      <c r="L102" s="99"/>
      <c r="M102" s="99"/>
    </row>
    <row r="103" spans="1:18" x14ac:dyDescent="0.25">
      <c r="C103" s="124"/>
      <c r="D103" s="111"/>
      <c r="E103" s="111"/>
      <c r="F103" s="111"/>
      <c r="G103" s="111"/>
      <c r="H103" s="111"/>
      <c r="I103" s="125"/>
    </row>
    <row r="104" spans="1:18" x14ac:dyDescent="0.25">
      <c r="C104" s="124"/>
      <c r="D104" s="111"/>
      <c r="E104" s="111"/>
      <c r="F104" s="111"/>
      <c r="G104" s="111"/>
      <c r="H104" s="111"/>
      <c r="I104" s="125"/>
    </row>
  </sheetData>
  <autoFilter ref="A8:W96"/>
  <mergeCells count="6">
    <mergeCell ref="R1:S2"/>
    <mergeCell ref="A4:S4"/>
    <mergeCell ref="B6:H6"/>
    <mergeCell ref="R6:S6"/>
    <mergeCell ref="A6:A7"/>
    <mergeCell ref="I6:Q6"/>
  </mergeCells>
  <pageMargins left="0.27559055118110237" right="0.27559055118110237" top="0.98425196850393704" bottom="0.39370078740157483" header="0.31496062992125984" footer="0.31496062992125984"/>
  <pageSetup paperSize="9" scale="49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66" t="s">
        <v>73</v>
      </c>
      <c r="T1" s="166"/>
    </row>
    <row r="2" spans="1:20" s="29" customFormat="1" ht="12.75" x14ac:dyDescent="0.2">
      <c r="A2" s="163" t="s">
        <v>150</v>
      </c>
      <c r="B2" s="164"/>
      <c r="C2" s="164"/>
      <c r="D2" s="164"/>
      <c r="E2" s="164"/>
      <c r="F2" s="164"/>
      <c r="G2" s="164"/>
      <c r="H2" s="164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67" t="s">
        <v>0</v>
      </c>
      <c r="B4" s="159" t="s">
        <v>107</v>
      </c>
      <c r="C4" s="159"/>
      <c r="D4" s="159"/>
      <c r="E4" s="159"/>
      <c r="F4" s="159"/>
      <c r="G4" s="159"/>
      <c r="H4" s="160"/>
      <c r="L4" s="159" t="s">
        <v>149</v>
      </c>
      <c r="M4" s="159"/>
      <c r="N4" s="159"/>
      <c r="O4" s="159"/>
      <c r="P4" s="159"/>
      <c r="Q4" s="159"/>
      <c r="R4" s="160"/>
      <c r="S4" s="161" t="s">
        <v>56</v>
      </c>
      <c r="T4" s="162"/>
    </row>
    <row r="5" spans="1:20" ht="120" x14ac:dyDescent="0.2">
      <c r="A5" s="168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2021-04-22T11:36:50Z</cp:lastPrinted>
  <dcterms:created xsi:type="dcterms:W3CDTF">1996-10-08T23:32:33Z</dcterms:created>
  <dcterms:modified xsi:type="dcterms:W3CDTF">2021-04-22T11:43:26Z</dcterms:modified>
</cp:coreProperties>
</file>