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0 год\Отчёты в 2020 году\Отчёт за 9 месяцев 2020 года\оперативный отчёт 9 месяцев\"/>
    </mc:Choice>
  </mc:AlternateContent>
  <bookViews>
    <workbookView xWindow="-105" yWindow="-105" windowWidth="20730" windowHeight="11760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программы!$A$4:$H$144</definedName>
    <definedName name="_xlnm.Print_Titles" localSheetId="0">программы!$3:$4</definedName>
    <definedName name="_xlnm.Print_Area" localSheetId="0">программы!$A$1:$H$144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9" i="4" l="1"/>
  <c r="E48" i="4"/>
  <c r="H8" i="4" l="1"/>
  <c r="G9" i="4"/>
  <c r="H9" i="4"/>
  <c r="H11" i="4"/>
  <c r="G13" i="4"/>
  <c r="H13" i="4"/>
  <c r="G15" i="4"/>
  <c r="H15" i="4"/>
  <c r="G18" i="4"/>
  <c r="H18" i="4"/>
  <c r="G20" i="4"/>
  <c r="H20" i="4"/>
  <c r="G23" i="4"/>
  <c r="H23" i="4"/>
  <c r="H24" i="4"/>
  <c r="G27" i="4"/>
  <c r="H27" i="4"/>
  <c r="G29" i="4"/>
  <c r="H29" i="4"/>
  <c r="G30" i="4"/>
  <c r="H30" i="4"/>
  <c r="G31" i="4"/>
  <c r="H31" i="4"/>
  <c r="G32" i="4"/>
  <c r="H32" i="4"/>
  <c r="G33" i="4"/>
  <c r="H33" i="4"/>
  <c r="G34" i="4"/>
  <c r="H34" i="4"/>
  <c r="G35" i="4"/>
  <c r="H35" i="4"/>
  <c r="G38" i="4"/>
  <c r="H38" i="4"/>
  <c r="H40" i="4"/>
  <c r="G42" i="4"/>
  <c r="H42" i="4"/>
  <c r="G45" i="4"/>
  <c r="H45" i="4"/>
  <c r="G46" i="4"/>
  <c r="H46" i="4"/>
  <c r="H48" i="4"/>
  <c r="G49" i="4"/>
  <c r="H49" i="4"/>
  <c r="G51" i="4"/>
  <c r="H51" i="4"/>
  <c r="H56" i="4"/>
  <c r="H59" i="4"/>
  <c r="G61" i="4"/>
  <c r="H61" i="4"/>
  <c r="G62" i="4"/>
  <c r="H62" i="4"/>
  <c r="G64" i="4"/>
  <c r="H64" i="4"/>
  <c r="H67" i="4"/>
  <c r="G70" i="4"/>
  <c r="H70" i="4"/>
  <c r="G73" i="4"/>
  <c r="H73" i="4"/>
  <c r="G75" i="4"/>
  <c r="H75" i="4"/>
  <c r="G76" i="4"/>
  <c r="H76" i="4"/>
  <c r="G77" i="4"/>
  <c r="H77" i="4"/>
  <c r="G79" i="4"/>
  <c r="H79" i="4"/>
  <c r="H80" i="4"/>
  <c r="G82" i="4"/>
  <c r="H82" i="4"/>
  <c r="H84" i="4"/>
  <c r="G85" i="4"/>
  <c r="H85" i="4"/>
  <c r="G87" i="4"/>
  <c r="H87" i="4"/>
  <c r="G90" i="4"/>
  <c r="H90" i="4"/>
  <c r="G91" i="4"/>
  <c r="H91" i="4"/>
  <c r="G93" i="4"/>
  <c r="H93" i="4"/>
  <c r="G94" i="4"/>
  <c r="H94" i="4"/>
  <c r="G97" i="4"/>
  <c r="H97" i="4"/>
  <c r="G99" i="4"/>
  <c r="H99" i="4"/>
  <c r="G100" i="4"/>
  <c r="H100" i="4"/>
  <c r="G101" i="4"/>
  <c r="H101" i="4"/>
  <c r="G102" i="4"/>
  <c r="H102" i="4"/>
  <c r="G103" i="4"/>
  <c r="H103" i="4"/>
  <c r="G104" i="4"/>
  <c r="H104" i="4"/>
  <c r="G105" i="4"/>
  <c r="H105" i="4"/>
  <c r="G108" i="4"/>
  <c r="H108" i="4"/>
  <c r="G110" i="4"/>
  <c r="H110" i="4"/>
  <c r="G112" i="4"/>
  <c r="H112" i="4"/>
  <c r="H114" i="4"/>
  <c r="G115" i="4"/>
  <c r="H115" i="4"/>
  <c r="G118" i="4"/>
  <c r="H118" i="4"/>
  <c r="G120" i="4"/>
  <c r="H120" i="4"/>
  <c r="G123" i="4"/>
  <c r="H123" i="4"/>
  <c r="G126" i="4"/>
  <c r="H126" i="4"/>
  <c r="G128" i="4"/>
  <c r="H128" i="4"/>
  <c r="H130" i="4"/>
  <c r="H131" i="4"/>
  <c r="G134" i="4"/>
  <c r="H134" i="4"/>
  <c r="G135" i="4"/>
  <c r="G136" i="4"/>
  <c r="H136" i="4"/>
  <c r="H139" i="4"/>
  <c r="H142" i="4"/>
  <c r="G143" i="4"/>
  <c r="H143" i="4"/>
  <c r="E142" i="4"/>
  <c r="G142" i="4" s="1"/>
  <c r="D142" i="4"/>
  <c r="E140" i="4"/>
  <c r="H140" i="4" s="1"/>
  <c r="D140" i="4"/>
  <c r="E139" i="4"/>
  <c r="G139" i="4" s="1"/>
  <c r="D139" i="4"/>
  <c r="E138" i="4"/>
  <c r="H138" i="4" s="1"/>
  <c r="D138" i="4"/>
  <c r="E135" i="4"/>
  <c r="H135" i="4" s="1"/>
  <c r="D135" i="4"/>
  <c r="D131" i="4"/>
  <c r="G131" i="4" s="1"/>
  <c r="E130" i="4"/>
  <c r="G130" i="4" s="1"/>
  <c r="D130" i="4"/>
  <c r="E121" i="4"/>
  <c r="G121" i="4" s="1"/>
  <c r="D121" i="4"/>
  <c r="E114" i="4"/>
  <c r="G114" i="4" s="1"/>
  <c r="D114" i="4"/>
  <c r="D90" i="4"/>
  <c r="D80" i="4"/>
  <c r="G80" i="4" s="1"/>
  <c r="E74" i="4"/>
  <c r="G74" i="4" s="1"/>
  <c r="D74" i="4"/>
  <c r="E71" i="4"/>
  <c r="G71" i="4" s="1"/>
  <c r="D71" i="4"/>
  <c r="E67" i="4"/>
  <c r="G67" i="4" s="1"/>
  <c r="E68" i="4"/>
  <c r="G68" i="4" s="1"/>
  <c r="D68" i="4"/>
  <c r="D67" i="4"/>
  <c r="E59" i="4"/>
  <c r="G59" i="4" s="1"/>
  <c r="D59" i="4"/>
  <c r="E58" i="4"/>
  <c r="G58" i="4" s="1"/>
  <c r="D58" i="4"/>
  <c r="E55" i="4"/>
  <c r="G55" i="4" s="1"/>
  <c r="D55" i="4"/>
  <c r="E54" i="4"/>
  <c r="H54" i="4" s="1"/>
  <c r="D54" i="4"/>
  <c r="D48" i="4"/>
  <c r="G48" i="4" s="1"/>
  <c r="D40" i="4"/>
  <c r="G40" i="4" s="1"/>
  <c r="E39" i="4"/>
  <c r="H39" i="4" s="1"/>
  <c r="D39" i="4"/>
  <c r="E17" i="4"/>
  <c r="G17" i="4" s="1"/>
  <c r="D17" i="4"/>
  <c r="E8" i="4"/>
  <c r="G8" i="4" s="1"/>
  <c r="E7" i="4"/>
  <c r="G7" i="4" s="1"/>
  <c r="D8" i="4"/>
  <c r="D7" i="4"/>
  <c r="G138" i="4" l="1"/>
  <c r="H55" i="4"/>
  <c r="H121" i="4"/>
  <c r="H74" i="4"/>
  <c r="H71" i="4"/>
  <c r="H68" i="4"/>
  <c r="H58" i="4"/>
  <c r="H17" i="4"/>
  <c r="G140" i="4"/>
  <c r="G54" i="4"/>
  <c r="G39" i="4"/>
  <c r="C7" i="4"/>
  <c r="H7" i="4" s="1"/>
  <c r="D78" i="4" l="1"/>
  <c r="D11" i="4"/>
  <c r="G11" i="4" s="1"/>
  <c r="F93" i="4"/>
  <c r="F94" i="4"/>
  <c r="F87" i="4"/>
  <c r="F79" i="4"/>
  <c r="C78" i="4"/>
  <c r="E78" i="4"/>
  <c r="B78" i="4"/>
  <c r="F84" i="4"/>
  <c r="F85" i="4"/>
  <c r="F56" i="4"/>
  <c r="F34" i="4"/>
  <c r="G78" i="4" l="1"/>
  <c r="H78" i="4"/>
  <c r="F30" i="4"/>
  <c r="F29" i="4"/>
  <c r="F27" i="4"/>
  <c r="F31" i="4"/>
  <c r="F54" i="4" l="1"/>
  <c r="F38" i="4"/>
  <c r="F32" i="4"/>
  <c r="F18" i="4"/>
  <c r="C19" i="4"/>
  <c r="C133" i="4" s="1"/>
  <c r="F138" i="4"/>
  <c r="F139" i="4"/>
  <c r="F140" i="4"/>
  <c r="C127" i="4" l="1"/>
  <c r="C117" i="4" s="1"/>
  <c r="C53" i="4" s="1"/>
  <c r="F39" i="4"/>
  <c r="F128" i="4"/>
  <c r="C66" i="4" l="1"/>
  <c r="C69" i="4" s="1"/>
  <c r="C107" i="4" s="1"/>
  <c r="C10" i="4" s="1"/>
  <c r="C113" i="4" s="1"/>
  <c r="C16" i="4" s="1"/>
  <c r="F8" i="4"/>
  <c r="F9" i="4"/>
  <c r="F11" i="4"/>
  <c r="F13" i="4"/>
  <c r="F15" i="4"/>
  <c r="F17" i="4"/>
  <c r="F20" i="4"/>
  <c r="F23" i="4"/>
  <c r="F24" i="4"/>
  <c r="F25" i="4"/>
  <c r="F33" i="4"/>
  <c r="F35" i="4"/>
  <c r="F40" i="4"/>
  <c r="F42" i="4"/>
  <c r="F45" i="4"/>
  <c r="F46" i="4"/>
  <c r="F48" i="4"/>
  <c r="F49" i="4"/>
  <c r="F51" i="4"/>
  <c r="F55" i="4"/>
  <c r="F58" i="4"/>
  <c r="F59" i="4"/>
  <c r="F61" i="4"/>
  <c r="F62" i="4"/>
  <c r="F64" i="4"/>
  <c r="F67" i="4"/>
  <c r="F68" i="4"/>
  <c r="F70" i="4"/>
  <c r="F71" i="4"/>
  <c r="F73" i="4"/>
  <c r="F74" i="4"/>
  <c r="F75" i="4"/>
  <c r="F76" i="4"/>
  <c r="F77" i="4"/>
  <c r="F80" i="4"/>
  <c r="F82" i="4"/>
  <c r="F90" i="4"/>
  <c r="F91" i="4"/>
  <c r="F97" i="4"/>
  <c r="F99" i="4"/>
  <c r="F100" i="4"/>
  <c r="F101" i="4"/>
  <c r="F102" i="4"/>
  <c r="F103" i="4"/>
  <c r="F104" i="4"/>
  <c r="F105" i="4"/>
  <c r="F108" i="4"/>
  <c r="F110" i="4"/>
  <c r="F112" i="4"/>
  <c r="F114" i="4"/>
  <c r="F115" i="4"/>
  <c r="F118" i="4"/>
  <c r="F120" i="4"/>
  <c r="F121" i="4"/>
  <c r="F123" i="4"/>
  <c r="F126" i="4"/>
  <c r="F130" i="4"/>
  <c r="F131" i="4"/>
  <c r="F134" i="4"/>
  <c r="F135" i="4"/>
  <c r="F136" i="4"/>
  <c r="F142" i="4"/>
  <c r="F143" i="4"/>
  <c r="F7" i="4"/>
  <c r="C44" i="4" l="1"/>
  <c r="C47" i="4" s="1"/>
  <c r="C111" i="4" s="1"/>
  <c r="C89" i="4" l="1"/>
  <c r="C92" i="4" l="1"/>
  <c r="C83" i="4" s="1"/>
  <c r="C72" i="4" s="1"/>
  <c r="C57" i="4" s="1"/>
  <c r="C12" i="4" s="1"/>
  <c r="C96" i="4" s="1"/>
  <c r="C50" i="4" s="1"/>
  <c r="C125" i="4" s="1"/>
  <c r="C41" i="4" s="1"/>
  <c r="C6" i="4" s="1"/>
  <c r="C86" i="4" s="1"/>
  <c r="C81" i="4" s="1"/>
  <c r="D19" i="4"/>
  <c r="D133" i="4" s="1"/>
  <c r="D127" i="4" s="1"/>
  <c r="E19" i="4"/>
  <c r="E133" i="4" s="1"/>
  <c r="E127" i="4" s="1"/>
  <c r="B19" i="4"/>
  <c r="B133" i="4" s="1"/>
  <c r="G133" i="4" l="1"/>
  <c r="B127" i="4"/>
  <c r="G127" i="4"/>
  <c r="H127" i="4"/>
  <c r="F127" i="4"/>
  <c r="F133" i="4"/>
  <c r="H133" i="4"/>
  <c r="C63" i="4"/>
  <c r="C98" i="4" s="1"/>
  <c r="C60" i="4" s="1"/>
  <c r="C14" i="4" s="1"/>
  <c r="C37" i="4" s="1"/>
  <c r="C109" i="4" s="1"/>
  <c r="G19" i="4"/>
  <c r="H19" i="4"/>
  <c r="F19" i="4"/>
  <c r="C26" i="4" l="1"/>
  <c r="C22" i="4"/>
  <c r="C122" i="4" s="1"/>
  <c r="C119" i="4" s="1"/>
  <c r="C106" i="4" s="1"/>
  <c r="C116" i="4" s="1"/>
  <c r="C65" i="4" s="1"/>
  <c r="C129" i="4" s="1"/>
  <c r="C43" i="4" s="1"/>
  <c r="C5" i="4" s="1"/>
  <c r="F78" i="4"/>
  <c r="C52" i="4" l="1"/>
  <c r="C141" i="4" s="1"/>
  <c r="C95" i="4" s="1"/>
  <c r="C28" i="4" s="1"/>
  <c r="C21" i="4" s="1"/>
  <c r="C132" i="4" s="1"/>
  <c r="C36" i="4" s="1"/>
  <c r="C137" i="4" s="1"/>
  <c r="C124" i="4" s="1"/>
  <c r="C88" i="4" s="1"/>
  <c r="C144" i="4" l="1"/>
  <c r="B117" i="4"/>
  <c r="D117" i="4"/>
  <c r="D53" i="4" s="1"/>
  <c r="E117" i="4"/>
  <c r="E53" i="4" s="1"/>
  <c r="G53" i="4" l="1"/>
  <c r="D66" i="4"/>
  <c r="D69" i="4" s="1"/>
  <c r="D107" i="4" s="1"/>
  <c r="D10" i="4" s="1"/>
  <c r="D113" i="4" s="1"/>
  <c r="D16" i="4" s="1"/>
  <c r="D44" i="4" s="1"/>
  <c r="D47" i="4" s="1"/>
  <c r="D111" i="4" s="1"/>
  <c r="B53" i="4"/>
  <c r="B66" i="4"/>
  <c r="B69" i="4" s="1"/>
  <c r="B107" i="4" s="1"/>
  <c r="B10" i="4" s="1"/>
  <c r="B113" i="4" s="1"/>
  <c r="B16" i="4" s="1"/>
  <c r="B44" i="4" s="1"/>
  <c r="B47" i="4" s="1"/>
  <c r="B111" i="4" s="1"/>
  <c r="E66" i="4"/>
  <c r="H53" i="4"/>
  <c r="H117" i="4"/>
  <c r="G117" i="4"/>
  <c r="F117" i="4"/>
  <c r="B89" i="4" l="1"/>
  <c r="B92" i="4" s="1"/>
  <c r="B83" i="4" s="1"/>
  <c r="B72" i="4" s="1"/>
  <c r="B57" i="4" s="1"/>
  <c r="B12" i="4" s="1"/>
  <c r="B96" i="4" s="1"/>
  <c r="B50" i="4" s="1"/>
  <c r="B125" i="4" s="1"/>
  <c r="D89" i="4"/>
  <c r="D92" i="4" s="1"/>
  <c r="D83" i="4" s="1"/>
  <c r="D72" i="4" s="1"/>
  <c r="G66" i="4"/>
  <c r="H66" i="4"/>
  <c r="E69" i="4"/>
  <c r="F66" i="4"/>
  <c r="F53" i="4"/>
  <c r="D57" i="4" l="1"/>
  <c r="F69" i="4"/>
  <c r="H69" i="4"/>
  <c r="G69" i="4"/>
  <c r="E107" i="4"/>
  <c r="B41" i="4"/>
  <c r="B6" i="4" s="1"/>
  <c r="B86" i="4" s="1"/>
  <c r="B81" i="4" s="1"/>
  <c r="B63" i="4" s="1"/>
  <c r="B98" i="4" s="1"/>
  <c r="B60" i="4" s="1"/>
  <c r="B14" i="4" s="1"/>
  <c r="B37" i="4" s="1"/>
  <c r="E10" i="4" l="1"/>
  <c r="G107" i="4"/>
  <c r="F107" i="4"/>
  <c r="H107" i="4"/>
  <c r="D12" i="4"/>
  <c r="D96" i="4" s="1"/>
  <c r="D50" i="4" s="1"/>
  <c r="D125" i="4" s="1"/>
  <c r="B109" i="4"/>
  <c r="B26" i="4" l="1"/>
  <c r="B22" i="4"/>
  <c r="B122" i="4" s="1"/>
  <c r="B119" i="4" s="1"/>
  <c r="B106" i="4" s="1"/>
  <c r="D41" i="4"/>
  <c r="E113" i="4"/>
  <c r="G10" i="4"/>
  <c r="F10" i="4"/>
  <c r="H10" i="4"/>
  <c r="B116" i="4" l="1"/>
  <c r="B65" i="4" s="1"/>
  <c r="B129" i="4" s="1"/>
  <c r="B43" i="4" s="1"/>
  <c r="B5" i="4" s="1"/>
  <c r="E16" i="4"/>
  <c r="H113" i="4"/>
  <c r="F113" i="4"/>
  <c r="G113" i="4"/>
  <c r="D6" i="4"/>
  <c r="D86" i="4" s="1"/>
  <c r="D81" i="4" s="1"/>
  <c r="D63" i="4" s="1"/>
  <c r="D98" i="4" s="1"/>
  <c r="D60" i="4" s="1"/>
  <c r="D14" i="4" s="1"/>
  <c r="D37" i="4" s="1"/>
  <c r="D109" i="4" s="1"/>
  <c r="D26" i="4" s="1"/>
  <c r="D22" i="4" s="1"/>
  <c r="D122" i="4" s="1"/>
  <c r="D119" i="4" s="1"/>
  <c r="D106" i="4" s="1"/>
  <c r="D116" i="4" s="1"/>
  <c r="D65" i="4" s="1"/>
  <c r="D129" i="4" s="1"/>
  <c r="D43" i="4" l="1"/>
  <c r="D5" i="4" s="1"/>
  <c r="G16" i="4"/>
  <c r="H16" i="4"/>
  <c r="E44" i="4"/>
  <c r="F16" i="4"/>
  <c r="B52" i="4"/>
  <c r="B141" i="4" s="1"/>
  <c r="B95" i="4" s="1"/>
  <c r="B28" i="4" s="1"/>
  <c r="B21" i="4" l="1"/>
  <c r="B132" i="4" s="1"/>
  <c r="B36" i="4" s="1"/>
  <c r="B137" i="4" s="1"/>
  <c r="B124" i="4" s="1"/>
  <c r="B88" i="4" s="1"/>
  <c r="B144" i="4"/>
  <c r="D52" i="4"/>
  <c r="E47" i="4"/>
  <c r="H44" i="4"/>
  <c r="F44" i="4"/>
  <c r="G44" i="4"/>
  <c r="G47" i="4" l="1"/>
  <c r="F47" i="4"/>
  <c r="H47" i="4"/>
  <c r="E111" i="4"/>
  <c r="D141" i="4"/>
  <c r="D95" i="4" s="1"/>
  <c r="D28" i="4" s="1"/>
  <c r="D21" i="4" l="1"/>
  <c r="D132" i="4" s="1"/>
  <c r="D36" i="4" s="1"/>
  <c r="D137" i="4" s="1"/>
  <c r="D124" i="4" s="1"/>
  <c r="D88" i="4" s="1"/>
  <c r="E89" i="4"/>
  <c r="E92" i="4" s="1"/>
  <c r="G111" i="4"/>
  <c r="H111" i="4"/>
  <c r="F111" i="4"/>
  <c r="D144" i="4" l="1"/>
  <c r="E83" i="4"/>
  <c r="H92" i="4"/>
  <c r="G92" i="4"/>
  <c r="F92" i="4"/>
  <c r="G89" i="4"/>
  <c r="F89" i="4"/>
  <c r="H89" i="4"/>
  <c r="G83" i="4" l="1"/>
  <c r="H83" i="4"/>
  <c r="F83" i="4"/>
  <c r="E72" i="4"/>
  <c r="E57" i="4" l="1"/>
  <c r="G72" i="4"/>
  <c r="F72" i="4"/>
  <c r="H72" i="4"/>
  <c r="H57" i="4" l="1"/>
  <c r="G57" i="4"/>
  <c r="E12" i="4"/>
  <c r="F57" i="4"/>
  <c r="E96" i="4" l="1"/>
  <c r="F12" i="4"/>
  <c r="G12" i="4"/>
  <c r="H12" i="4"/>
  <c r="E50" i="4" l="1"/>
  <c r="F96" i="4"/>
  <c r="H96" i="4"/>
  <c r="G96" i="4"/>
  <c r="F50" i="4" l="1"/>
  <c r="G50" i="4"/>
  <c r="H50" i="4"/>
  <c r="E125" i="4"/>
  <c r="E41" i="4" l="1"/>
  <c r="H125" i="4"/>
  <c r="F125" i="4"/>
  <c r="G125" i="4"/>
  <c r="H41" i="4" l="1"/>
  <c r="E6" i="4"/>
  <c r="F41" i="4"/>
  <c r="G41" i="4"/>
  <c r="E86" i="4" l="1"/>
  <c r="H6" i="4"/>
  <c r="F6" i="4"/>
  <c r="G6" i="4"/>
  <c r="G86" i="4" l="1"/>
  <c r="H86" i="4"/>
  <c r="F86" i="4"/>
  <c r="E81" i="4"/>
  <c r="E63" i="4" l="1"/>
  <c r="H81" i="4"/>
  <c r="G81" i="4"/>
  <c r="F81" i="4"/>
  <c r="F63" i="4" l="1"/>
  <c r="G63" i="4"/>
  <c r="H63" i="4"/>
  <c r="E98" i="4"/>
  <c r="E60" i="4" l="1"/>
  <c r="H98" i="4"/>
  <c r="F98" i="4"/>
  <c r="G98" i="4"/>
  <c r="G60" i="4" l="1"/>
  <c r="H60" i="4"/>
  <c r="F60" i="4"/>
  <c r="E14" i="4"/>
  <c r="E37" i="4" l="1"/>
  <c r="F14" i="4"/>
  <c r="G14" i="4"/>
  <c r="H14" i="4"/>
  <c r="H37" i="4" l="1"/>
  <c r="G37" i="4"/>
  <c r="F37" i="4"/>
  <c r="E109" i="4"/>
  <c r="E26" i="4" l="1"/>
  <c r="G109" i="4"/>
  <c r="H109" i="4"/>
  <c r="F109" i="4"/>
  <c r="E22" i="4" l="1"/>
  <c r="G26" i="4"/>
  <c r="H26" i="4"/>
  <c r="F26" i="4"/>
  <c r="E122" i="4" l="1"/>
  <c r="H22" i="4"/>
  <c r="G22" i="4"/>
  <c r="F22" i="4"/>
  <c r="G122" i="4" l="1"/>
  <c r="H122" i="4"/>
  <c r="F122" i="4"/>
  <c r="E119" i="4"/>
  <c r="F119" i="4" l="1"/>
  <c r="G119" i="4"/>
  <c r="E106" i="4"/>
  <c r="H119" i="4"/>
  <c r="E116" i="4" l="1"/>
  <c r="G106" i="4"/>
  <c r="H106" i="4"/>
  <c r="F106" i="4"/>
  <c r="E65" i="4" l="1"/>
  <c r="G116" i="4"/>
  <c r="F116" i="4"/>
  <c r="H116" i="4"/>
  <c r="E129" i="4" l="1"/>
  <c r="G65" i="4"/>
  <c r="H65" i="4"/>
  <c r="F65" i="4"/>
  <c r="H129" i="4" l="1"/>
  <c r="E43" i="4"/>
  <c r="G129" i="4"/>
  <c r="F129" i="4"/>
  <c r="G43" i="4" l="1"/>
  <c r="F43" i="4"/>
  <c r="H43" i="4"/>
  <c r="E5" i="4"/>
  <c r="E52" i="4" l="1"/>
  <c r="G5" i="4"/>
  <c r="F5" i="4"/>
  <c r="H5" i="4"/>
  <c r="H52" i="4" l="1"/>
  <c r="E141" i="4"/>
  <c r="F52" i="4"/>
  <c r="G52" i="4"/>
  <c r="H141" i="4" l="1"/>
  <c r="F141" i="4"/>
  <c r="G141" i="4"/>
  <c r="E95" i="4"/>
  <c r="E28" i="4" l="1"/>
  <c r="G95" i="4"/>
  <c r="H95" i="4"/>
  <c r="F95" i="4"/>
  <c r="G28" i="4" l="1"/>
  <c r="H28" i="4"/>
  <c r="F28" i="4"/>
  <c r="E21" i="4"/>
  <c r="E132" i="4" l="1"/>
  <c r="G21" i="4"/>
  <c r="F21" i="4"/>
  <c r="H21" i="4"/>
  <c r="G132" i="4" l="1"/>
  <c r="H132" i="4"/>
  <c r="F132" i="4"/>
  <c r="E36" i="4"/>
  <c r="E137" i="4" l="1"/>
  <c r="H36" i="4"/>
  <c r="F36" i="4"/>
  <c r="G36" i="4"/>
  <c r="G137" i="4" l="1"/>
  <c r="F137" i="4"/>
  <c r="H137" i="4"/>
  <c r="E124" i="4"/>
  <c r="E88" i="4" l="1"/>
  <c r="E144" i="4" s="1"/>
  <c r="F124" i="4"/>
  <c r="G124" i="4"/>
  <c r="H124" i="4"/>
  <c r="G144" i="4" l="1"/>
  <c r="H144" i="4"/>
  <c r="F144" i="4"/>
  <c r="G88" i="4"/>
  <c r="F88" i="4"/>
  <c r="H88" i="4"/>
</calcChain>
</file>

<file path=xl/sharedStrings.xml><?xml version="1.0" encoding="utf-8"?>
<sst xmlns="http://schemas.openxmlformats.org/spreadsheetml/2006/main" count="149" uniqueCount="71">
  <si>
    <t>Исполнено, руб.</t>
  </si>
  <si>
    <t>% испол. кассового плана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</si>
  <si>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</si>
  <si>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</si>
  <si>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</si>
  <si>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</si>
  <si>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</si>
  <si>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</si>
  <si>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</si>
  <si>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</si>
  <si>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</si>
  <si>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</si>
  <si>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</si>
  <si>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</si>
  <si>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</si>
  <si>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</si>
  <si>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</si>
  <si>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% испол. бюджетн. росписи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</si>
  <si>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</si>
  <si>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</si>
  <si>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</si>
  <si>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</si>
  <si>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Департамент образования и молодёжной политики администрации города Нефтеюганска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</si>
  <si>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</si>
  <si>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</si>
  <si>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</si>
  <si>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</si>
  <si>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</si>
  <si>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</si>
  <si>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"Дополнительные меры социальной поддержки отдельных категорий граждан города Нефтеюганска"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</si>
  <si>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</si>
  <si>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</si>
  <si>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</si>
  <si>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города Нефтеюганска «Социально-экономическое развитие города Нефтеюганска»</t>
  </si>
  <si>
    <t>Муниципальная программа города Нефтеюганска «Развитие транспортной системы в городе Нефтеюганске»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</si>
  <si>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</si>
  <si>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</si>
  <si>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</si>
  <si>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города Нефтеюганска "Поддержка социально ориентированных некоммерческих организаций, осуществляющих деятельность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</si>
  <si>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</si>
  <si>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</si>
  <si>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</si>
  <si>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</si>
  <si>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</si>
  <si>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</si>
  <si>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</si>
  <si>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</si>
  <si>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</si>
  <si>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</si>
  <si>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</si>
  <si>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</si>
  <si>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 xml:space="preserve">Муниципальная программа города Нефтеюганска «Развитие жилищно-коммунального комплекса и повышение энергетической эффективности в городе Нефтеюганске»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</si>
  <si>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</si>
  <si>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</si>
  <si>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</si>
  <si>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</si>
  <si>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</si>
  <si>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</si>
  <si>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</si>
  <si>
    <t>Первоначальный план на 2020 год, руб.</t>
  </si>
  <si>
    <t>Бюджетная роспись                          на 2020 год, руб.</t>
  </si>
  <si>
    <t>Подпрограмма "Модернизация и развитие учреждений культуры и организация обустройства мест массового отдыха населения"</t>
  </si>
  <si>
    <t xml:space="preserve">Муниципальная  программа «Профилактика правонарушений в сфере общественного  порядка, профилактика незаконного оборота и потребления наркотических средств и психотропных веществ в городе Нефтеюганске»
</t>
  </si>
  <si>
    <t>Подпрограмма "Профилактика незаконного оборота потребления наркотических средств и психотропных веществ"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</si>
  <si>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</si>
  <si>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</si>
  <si>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Отклонение                   (гр.5-гр.4), руб.</t>
  </si>
  <si>
    <t>Подпрограмма "Обустройство, использование, защита и охрана городских лесов"</t>
  </si>
  <si>
    <t>Наименование</t>
  </si>
  <si>
    <t>4.  Исполнение по муниципальным программам за 9 месяцев 2020 года</t>
  </si>
  <si>
    <t>Кассовый план за 9 месяцев,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</si>
</sst>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-#,##0.00;_(* &quot;&quot;??_);_(@_)"/>
    <numFmt numFmtId="166" formatCode="#,##0.00_р_."/>
    <numFmt numFmtId="167" formatCode="#,##0.00_ ;\-#,##0.00\ 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1" fillId="0" borderId="0"/>
  </cellStyleXfs>
  <cellXfs count="40">
    <xf numFmtId="0" fontId="0" fillId="0" borderId="0" xfId="0"/>
    <xf numFmtId="0" fontId="8" fillId="2" borderId="0" xfId="2" applyNumberFormat="1" applyFont="1" applyFill="1" applyAlignment="1" applyProtection="1">
      <alignment horizontal="center" vertical="center" wrapText="1"/>
    </xf>
    <xf numFmtId="0" fontId="0" fillId="2" borderId="0" xfId="0" applyFont="1" applyFill="1"/>
    <xf numFmtId="0" fontId="7" fillId="2" borderId="0" xfId="0" applyFont="1" applyFill="1"/>
    <xf numFmtId="0" fontId="8" fillId="2" borderId="0" xfId="2" applyNumberFormat="1" applyFont="1" applyFill="1" applyAlignment="1" applyProtection="1">
      <alignment horizontal="center" vertical="center" wrapText="1"/>
    </xf>
    <xf numFmtId="0" fontId="15" fillId="2" borderId="0" xfId="2" applyNumberFormat="1" applyFont="1" applyFill="1" applyAlignment="1" applyProtection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165" fontId="8" fillId="2" borderId="1" xfId="4" applyNumberFormat="1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164" fontId="8" fillId="2" borderId="1" xfId="3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1" fontId="9" fillId="2" borderId="1" xfId="0" applyNumberFormat="1" applyFont="1" applyFill="1" applyBorder="1" applyAlignment="1">
      <alignment horizontal="center" vertical="center" wrapText="1"/>
    </xf>
    <xf numFmtId="1" fontId="8" fillId="2" borderId="1" xfId="4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39" fontId="10" fillId="2" borderId="1" xfId="0" applyNumberFormat="1" applyFont="1" applyFill="1" applyBorder="1" applyAlignment="1">
      <alignment vertical="center" wrapText="1"/>
    </xf>
    <xf numFmtId="166" fontId="1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12" fillId="2" borderId="1" xfId="0" applyFont="1" applyFill="1" applyBorder="1" applyAlignment="1">
      <alignment vertical="center" wrapText="1"/>
    </xf>
    <xf numFmtId="39" fontId="12" fillId="2" borderId="1" xfId="0" applyNumberFormat="1" applyFont="1" applyFill="1" applyBorder="1" applyAlignment="1">
      <alignment vertical="center" wrapText="1"/>
    </xf>
    <xf numFmtId="166" fontId="14" fillId="2" borderId="1" xfId="0" applyNumberFormat="1" applyFont="1" applyFill="1" applyBorder="1" applyAlignment="1">
      <alignment horizontal="center" vertical="center"/>
    </xf>
    <xf numFmtId="0" fontId="5" fillId="2" borderId="0" xfId="0" applyFont="1" applyFill="1"/>
    <xf numFmtId="167" fontId="5" fillId="2" borderId="0" xfId="0" applyNumberFormat="1" applyFont="1" applyFill="1"/>
    <xf numFmtId="0" fontId="8" fillId="2" borderId="1" xfId="0" applyFont="1" applyFill="1" applyBorder="1" applyAlignment="1">
      <alignment vertical="center" wrapText="1"/>
    </xf>
    <xf numFmtId="39" fontId="8" fillId="2" borderId="1" xfId="0" applyNumberFormat="1" applyFont="1" applyFill="1" applyBorder="1" applyAlignment="1">
      <alignment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3" fontId="8" fillId="2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top" wrapText="1"/>
    </xf>
    <xf numFmtId="39" fontId="13" fillId="2" borderId="1" xfId="0" applyNumberFormat="1" applyFont="1" applyFill="1" applyBorder="1" applyAlignment="1">
      <alignment vertical="center" wrapText="1"/>
    </xf>
    <xf numFmtId="0" fontId="4" fillId="2" borderId="0" xfId="0" applyFont="1" applyFill="1"/>
    <xf numFmtId="3" fontId="10" fillId="2" borderId="1" xfId="0" applyNumberFormat="1" applyFont="1" applyFill="1" applyBorder="1" applyAlignment="1">
      <alignment vertical="center" wrapText="1"/>
    </xf>
    <xf numFmtId="0" fontId="11" fillId="2" borderId="1" xfId="0" applyFont="1" applyFill="1" applyBorder="1" applyAlignment="1">
      <alignment vertical="center" wrapText="1"/>
    </xf>
    <xf numFmtId="39" fontId="11" fillId="2" borderId="1" xfId="0" applyNumberFormat="1" applyFont="1" applyFill="1" applyBorder="1" applyAlignment="1">
      <alignment vertical="center" wrapText="1"/>
    </xf>
    <xf numFmtId="167" fontId="7" fillId="2" borderId="0" xfId="0" applyNumberFormat="1" applyFont="1" applyFill="1"/>
    <xf numFmtId="167" fontId="6" fillId="2" borderId="0" xfId="0" applyNumberFormat="1" applyFont="1" applyFill="1"/>
    <xf numFmtId="2" fontId="7" fillId="2" borderId="0" xfId="0" applyNumberFormat="1" applyFont="1" applyFill="1"/>
    <xf numFmtId="2" fontId="0" fillId="2" borderId="0" xfId="0" applyNumberFormat="1" applyFont="1" applyFill="1"/>
    <xf numFmtId="4" fontId="6" fillId="2" borderId="0" xfId="0" applyNumberFormat="1" applyFont="1" applyFill="1"/>
    <xf numFmtId="0" fontId="6" fillId="2" borderId="0" xfId="0" applyFont="1" applyFill="1"/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8"/>
  <sheetViews>
    <sheetView tabSelected="1" zoomScaleNormal="100"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A11" sqref="A11"/>
    </sheetView>
  </sheetViews>
  <sheetFormatPr defaultColWidth="9.140625" defaultRowHeight="15" x14ac:dyDescent="0.25"/>
  <cols>
    <col min="1" max="1" width="72.28515625" style="3" customWidth="1"/>
    <col min="2" max="2" width="19.7109375" style="3" customWidth="1"/>
    <col min="3" max="3" width="19.5703125" style="39" customWidth="1"/>
    <col min="4" max="4" width="20.140625" style="39" customWidth="1"/>
    <col min="5" max="5" width="19.28515625" style="39" customWidth="1"/>
    <col min="6" max="6" width="19.7109375" style="3" customWidth="1"/>
    <col min="7" max="7" width="10.85546875" style="3" customWidth="1"/>
    <col min="8" max="8" width="11.5703125" style="2" customWidth="1"/>
    <col min="9" max="9" width="26.140625" style="3" customWidth="1"/>
    <col min="10" max="10" width="17.5703125" style="3" customWidth="1"/>
    <col min="11" max="16384" width="9.140625" style="3"/>
  </cols>
  <sheetData>
    <row r="1" spans="1:10" x14ac:dyDescent="0.25">
      <c r="A1" s="1" t="s">
        <v>69</v>
      </c>
      <c r="B1" s="1"/>
      <c r="C1" s="1"/>
      <c r="D1" s="1"/>
      <c r="E1" s="1"/>
      <c r="F1" s="1"/>
      <c r="G1" s="1"/>
    </row>
    <row r="2" spans="1:10" x14ac:dyDescent="0.25">
      <c r="A2" s="4"/>
      <c r="B2" s="4"/>
      <c r="C2" s="5"/>
      <c r="D2" s="5"/>
      <c r="E2" s="5"/>
      <c r="F2" s="4"/>
      <c r="G2" s="4"/>
      <c r="H2" s="4"/>
    </row>
    <row r="3" spans="1:10" ht="45" x14ac:dyDescent="0.25">
      <c r="A3" s="6" t="s">
        <v>68</v>
      </c>
      <c r="B3" s="7" t="s">
        <v>59</v>
      </c>
      <c r="C3" s="7" t="s">
        <v>60</v>
      </c>
      <c r="D3" s="7" t="s">
        <v>70</v>
      </c>
      <c r="E3" s="8" t="s">
        <v>0</v>
      </c>
      <c r="F3" s="9" t="s">
        <v>66</v>
      </c>
      <c r="G3" s="10" t="s">
        <v>1</v>
      </c>
      <c r="H3" s="10" t="s">
        <v>17</v>
      </c>
    </row>
    <row r="4" spans="1:10" x14ac:dyDescent="0.25">
      <c r="A4" s="11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</row>
    <row r="5" spans="1:10" s="16" customFormat="1" ht="28.5" x14ac:dyDescent="0.25">
      <c r="A5" s="13" t="s">
        <v>28</v>
      </c>
      <c r="B5" s="14">
        <f>B6+B10+B12+B14+B16+B19</f>
        <v>4493365982</v>
      </c>
      <c r="C5" s="14">
        <f>C6+C10+C12+C14+C16+C19</f>
        <v>4573807656.8199997</v>
      </c>
      <c r="D5" s="14">
        <f>D6+D10+D12+D14+D16+D19</f>
        <v>3181589247.8400002</v>
      </c>
      <c r="E5" s="14">
        <f>E6+E10+E12+E14+E16+E19</f>
        <v>2724411291.5499997</v>
      </c>
      <c r="F5" s="14">
        <f>E5-D5</f>
        <v>-457177956.29000044</v>
      </c>
      <c r="G5" s="15">
        <f>(E5/D5)*100</f>
        <v>85.630516051046456</v>
      </c>
      <c r="H5" s="15">
        <f>(E5/C5)*100</f>
        <v>59.565497632757534</v>
      </c>
    </row>
    <row r="6" spans="1:10" s="20" customFormat="1" ht="30" x14ac:dyDescent="0.25">
      <c r="A6" s="17" t="s">
        <v>39</v>
      </c>
      <c r="B6" s="18">
        <f>SUM(B7:B9)</f>
        <v>4239705760</v>
      </c>
      <c r="C6" s="18">
        <f>SUM(C7:C9)</f>
        <v>4362632176.8199997</v>
      </c>
      <c r="D6" s="18">
        <f>SUM(D7:D9)</f>
        <v>3013982809.8400002</v>
      </c>
      <c r="E6" s="18">
        <f>SUM(E7:E9)</f>
        <v>2595962509.9699998</v>
      </c>
      <c r="F6" s="18">
        <f>E6-D6</f>
        <v>-418020299.87000036</v>
      </c>
      <c r="G6" s="19">
        <f>(E6/D6)*100</f>
        <v>86.130634239012409</v>
      </c>
      <c r="H6" s="19">
        <f>(E6/C6)*100</f>
        <v>59.504501061610085</v>
      </c>
      <c r="J6" s="21"/>
    </row>
    <row r="7" spans="1:10" s="2" customFormat="1" ht="30" x14ac:dyDescent="0.25">
      <c r="A7" s="22" t="s">
        <v>22</v>
      </c>
      <c r="B7" s="23">
        <v>4156698880</v>
      </c>
      <c r="C7" s="23">
        <f>72700+1389589013+2565441201.82+160593475+5224400+55040000</f>
        <v>4175960789.8200002</v>
      </c>
      <c r="D7" s="23">
        <f>441468630.84+290000+19277000+81379014+52564500+689586630+99714680+1454151609+17686600+72700+3810490+2583880+90299717</f>
        <v>2952885450.8400002</v>
      </c>
      <c r="E7" s="23">
        <f>2484932263.99+76096701.93</f>
        <v>2561028965.9199996</v>
      </c>
      <c r="F7" s="23">
        <f>E7-D7</f>
        <v>-391856484.92000055</v>
      </c>
      <c r="G7" s="24">
        <f>(E7/D7)*100</f>
        <v>86.729709247321793</v>
      </c>
      <c r="H7" s="24">
        <f>(E7/C7)*100</f>
        <v>61.327897813676302</v>
      </c>
    </row>
    <row r="8" spans="1:10" s="2" customFormat="1" ht="30" x14ac:dyDescent="0.25">
      <c r="A8" s="22" t="s">
        <v>24</v>
      </c>
      <c r="B8" s="23">
        <v>83006880</v>
      </c>
      <c r="C8" s="23">
        <v>183046244</v>
      </c>
      <c r="D8" s="23">
        <f>13456063+44016153</f>
        <v>57472216</v>
      </c>
      <c r="E8" s="23">
        <f>4218429.36+30715114.69</f>
        <v>34933544.050000004</v>
      </c>
      <c r="F8" s="23">
        <f>E8-D8</f>
        <v>-22538671.949999996</v>
      </c>
      <c r="G8" s="24">
        <f>(E8/D8)*100</f>
        <v>60.783360171808944</v>
      </c>
      <c r="H8" s="24">
        <f>(E8/C8)*100</f>
        <v>19.084545679068949</v>
      </c>
    </row>
    <row r="9" spans="1:10" s="2" customFormat="1" ht="30" x14ac:dyDescent="0.25">
      <c r="A9" s="22" t="s">
        <v>3</v>
      </c>
      <c r="B9" s="23">
        <v>0</v>
      </c>
      <c r="C9" s="23">
        <v>3625143</v>
      </c>
      <c r="D9" s="23">
        <v>3625143</v>
      </c>
      <c r="E9" s="23">
        <v>0</v>
      </c>
      <c r="F9" s="23">
        <f>E9-D9</f>
        <v>-3625143</v>
      </c>
      <c r="G9" s="24">
        <f>(E9/D9)*100</f>
        <v>0</v>
      </c>
      <c r="H9" s="24">
        <f>(E9/C9)*100</f>
        <v>0</v>
      </c>
    </row>
    <row r="10" spans="1:10" s="20" customFormat="1" ht="30" x14ac:dyDescent="0.25">
      <c r="A10" s="17" t="s">
        <v>40</v>
      </c>
      <c r="B10" s="18">
        <f>B11</f>
        <v>3192800</v>
      </c>
      <c r="C10" s="18">
        <f>C11</f>
        <v>4073563</v>
      </c>
      <c r="D10" s="18">
        <f>D11</f>
        <v>3673526</v>
      </c>
      <c r="E10" s="18">
        <f>E11</f>
        <v>2382926.23</v>
      </c>
      <c r="F10" s="18">
        <f>E10-D10</f>
        <v>-1290599.77</v>
      </c>
      <c r="G10" s="19">
        <f>(E10/D10)*100</f>
        <v>64.867547691237249</v>
      </c>
      <c r="H10" s="19">
        <f>(E10/C10)*100</f>
        <v>58.497345689756116</v>
      </c>
    </row>
    <row r="11" spans="1:10" s="2" customFormat="1" ht="30" x14ac:dyDescent="0.25">
      <c r="A11" s="22" t="s">
        <v>22</v>
      </c>
      <c r="B11" s="23">
        <v>3192800</v>
      </c>
      <c r="C11" s="23">
        <v>4073563</v>
      </c>
      <c r="D11" s="23">
        <f>2980326+693200</f>
        <v>3673526</v>
      </c>
      <c r="E11" s="23">
        <v>2382926.23</v>
      </c>
      <c r="F11" s="23">
        <f>E11-D11</f>
        <v>-1290599.77</v>
      </c>
      <c r="G11" s="24">
        <f>(E11/D11)*100</f>
        <v>64.867547691237249</v>
      </c>
      <c r="H11" s="24">
        <f>(E11/C11)*100</f>
        <v>58.497345689756116</v>
      </c>
    </row>
    <row r="12" spans="1:10" s="20" customFormat="1" x14ac:dyDescent="0.25">
      <c r="A12" s="17" t="s">
        <v>41</v>
      </c>
      <c r="B12" s="18">
        <f>B13</f>
        <v>57995422</v>
      </c>
      <c r="C12" s="18">
        <f>C13</f>
        <v>10715267</v>
      </c>
      <c r="D12" s="18">
        <f>D13</f>
        <v>6296675</v>
      </c>
      <c r="E12" s="18">
        <f>E13</f>
        <v>1001395.94</v>
      </c>
      <c r="F12" s="18">
        <f>E12-D12</f>
        <v>-5295279.0600000005</v>
      </c>
      <c r="G12" s="19">
        <f>(E12/D12)*100</f>
        <v>15.903567200149284</v>
      </c>
      <c r="H12" s="19">
        <f>(E12/C12)*100</f>
        <v>9.3455061829070605</v>
      </c>
    </row>
    <row r="13" spans="1:10" ht="30" x14ac:dyDescent="0.25">
      <c r="A13" s="22" t="s">
        <v>22</v>
      </c>
      <c r="B13" s="23">
        <v>57995422</v>
      </c>
      <c r="C13" s="23">
        <v>10715267</v>
      </c>
      <c r="D13" s="23">
        <v>6296675</v>
      </c>
      <c r="E13" s="23">
        <v>1001395.94</v>
      </c>
      <c r="F13" s="23">
        <f>E13-D13</f>
        <v>-5295279.0600000005</v>
      </c>
      <c r="G13" s="24">
        <f>(E13/D13)*100</f>
        <v>15.903567200149284</v>
      </c>
      <c r="H13" s="24">
        <f>(E13/C13)*100</f>
        <v>9.3455061829070605</v>
      </c>
    </row>
    <row r="14" spans="1:10" s="20" customFormat="1" x14ac:dyDescent="0.25">
      <c r="A14" s="17" t="s">
        <v>23</v>
      </c>
      <c r="B14" s="18">
        <f>B15</f>
        <v>66517800</v>
      </c>
      <c r="C14" s="18">
        <f>C15</f>
        <v>69868344</v>
      </c>
      <c r="D14" s="18">
        <f>D15</f>
        <v>55128336</v>
      </c>
      <c r="E14" s="18">
        <f>E15</f>
        <v>33608553.039999999</v>
      </c>
      <c r="F14" s="18">
        <f>E14-D14</f>
        <v>-21519782.960000001</v>
      </c>
      <c r="G14" s="19">
        <f>(E14/D14)*100</f>
        <v>60.964207299853925</v>
      </c>
      <c r="H14" s="19">
        <f>(E14/C14)*100</f>
        <v>48.102690168239853</v>
      </c>
    </row>
    <row r="15" spans="1:10" ht="30" x14ac:dyDescent="0.25">
      <c r="A15" s="22" t="s">
        <v>22</v>
      </c>
      <c r="B15" s="23">
        <v>66517800</v>
      </c>
      <c r="C15" s="23">
        <v>69868344</v>
      </c>
      <c r="D15" s="23">
        <v>55128336</v>
      </c>
      <c r="E15" s="23">
        <v>33608553.039999999</v>
      </c>
      <c r="F15" s="23">
        <f>E15-D15</f>
        <v>-21519782.960000001</v>
      </c>
      <c r="G15" s="24">
        <f>(E15/D15)*100</f>
        <v>60.964207299853925</v>
      </c>
      <c r="H15" s="24">
        <f>(E15/C15)*100</f>
        <v>48.102690168239853</v>
      </c>
    </row>
    <row r="16" spans="1:10" s="20" customFormat="1" ht="30" x14ac:dyDescent="0.25">
      <c r="A16" s="17" t="s">
        <v>58</v>
      </c>
      <c r="B16" s="18">
        <f>SUM(B17)</f>
        <v>125924200</v>
      </c>
      <c r="C16" s="18">
        <f>SUM(C17:C18)</f>
        <v>126488306</v>
      </c>
      <c r="D16" s="18">
        <f>SUM(D17:D18)</f>
        <v>102477901</v>
      </c>
      <c r="E16" s="18">
        <f>SUM(E17:E18)</f>
        <v>91425906.36999999</v>
      </c>
      <c r="F16" s="18">
        <f>E16-D16</f>
        <v>-11051994.63000001</v>
      </c>
      <c r="G16" s="19">
        <f>(E16/D16)*100</f>
        <v>89.215241020598185</v>
      </c>
      <c r="H16" s="19">
        <f>(E16/C16)*100</f>
        <v>72.280125539826585</v>
      </c>
    </row>
    <row r="17" spans="1:8" ht="30" x14ac:dyDescent="0.25">
      <c r="A17" s="22" t="s">
        <v>22</v>
      </c>
      <c r="B17" s="23">
        <v>125924200</v>
      </c>
      <c r="C17" s="23">
        <v>125978670</v>
      </c>
      <c r="D17" s="23">
        <f>45770925+56197340</f>
        <v>101968265</v>
      </c>
      <c r="E17" s="23">
        <f>40678778.99+50248777.8</f>
        <v>90927556.789999992</v>
      </c>
      <c r="F17" s="23">
        <f>E17-D17</f>
        <v>-11040708.210000008</v>
      </c>
      <c r="G17" s="24">
        <f>(E17/D17)*100</f>
        <v>89.172407503452163</v>
      </c>
      <c r="H17" s="24">
        <f>(E17/C17)*100</f>
        <v>72.176946136992868</v>
      </c>
    </row>
    <row r="18" spans="1:8" ht="30" x14ac:dyDescent="0.25">
      <c r="A18" s="22" t="s">
        <v>24</v>
      </c>
      <c r="B18" s="23"/>
      <c r="C18" s="23">
        <v>509636</v>
      </c>
      <c r="D18" s="23">
        <v>509636</v>
      </c>
      <c r="E18" s="23">
        <v>498349.58</v>
      </c>
      <c r="F18" s="23">
        <f>E18-D18</f>
        <v>-11286.419999999984</v>
      </c>
      <c r="G18" s="24">
        <f>(E18/D18)*100</f>
        <v>97.785395851156522</v>
      </c>
      <c r="H18" s="24">
        <f>(E18/C18)*100</f>
        <v>97.785395851156522</v>
      </c>
    </row>
    <row r="19" spans="1:8" s="20" customFormat="1" ht="30" x14ac:dyDescent="0.25">
      <c r="A19" s="17" t="s">
        <v>42</v>
      </c>
      <c r="B19" s="18">
        <f>B20</f>
        <v>30000</v>
      </c>
      <c r="C19" s="18">
        <f>C20</f>
        <v>30000</v>
      </c>
      <c r="D19" s="18">
        <f>D20</f>
        <v>30000</v>
      </c>
      <c r="E19" s="18">
        <f>E20</f>
        <v>30000</v>
      </c>
      <c r="F19" s="18">
        <f>E19-D19</f>
        <v>0</v>
      </c>
      <c r="G19" s="19">
        <f>(E19/D19)*100</f>
        <v>100</v>
      </c>
      <c r="H19" s="19">
        <f>(E19/C19)*100</f>
        <v>100</v>
      </c>
    </row>
    <row r="20" spans="1:8" ht="30" x14ac:dyDescent="0.25">
      <c r="A20" s="22" t="s">
        <v>22</v>
      </c>
      <c r="B20" s="23">
        <v>30000</v>
      </c>
      <c r="C20" s="23">
        <v>30000</v>
      </c>
      <c r="D20" s="23">
        <v>30000</v>
      </c>
      <c r="E20" s="23">
        <v>30000</v>
      </c>
      <c r="F20" s="23">
        <f>E20-D20</f>
        <v>0</v>
      </c>
      <c r="G20" s="24">
        <f>(E20/D20)*100</f>
        <v>100</v>
      </c>
      <c r="H20" s="24">
        <f>(E20/C20)*100</f>
        <v>100</v>
      </c>
    </row>
    <row r="21" spans="1:8" s="16" customFormat="1" ht="42.75" x14ac:dyDescent="0.25">
      <c r="A21" s="13" t="s">
        <v>29</v>
      </c>
      <c r="B21" s="14">
        <f>B26+B22</f>
        <v>101323300</v>
      </c>
      <c r="C21" s="14">
        <f>C26+C22</f>
        <v>198178494</v>
      </c>
      <c r="D21" s="14">
        <f>D26+D22</f>
        <v>45029941</v>
      </c>
      <c r="E21" s="14">
        <f>E26+E22</f>
        <v>38430940.780000001</v>
      </c>
      <c r="F21" s="14">
        <f>E21-D21</f>
        <v>-6599000.2199999988</v>
      </c>
      <c r="G21" s="15">
        <f>(E21/D21)*100</f>
        <v>85.345305648968093</v>
      </c>
      <c r="H21" s="15">
        <f>(E21/C21)*100</f>
        <v>19.39208438025571</v>
      </c>
    </row>
    <row r="22" spans="1:8" s="20" customFormat="1" ht="45" x14ac:dyDescent="0.25">
      <c r="A22" s="17" t="s">
        <v>43</v>
      </c>
      <c r="B22" s="18">
        <f>B24+B25+B23</f>
        <v>63264200</v>
      </c>
      <c r="C22" s="18">
        <f>C24+C25+C23</f>
        <v>160556694</v>
      </c>
      <c r="D22" s="18">
        <f>SUM(D23:D25)</f>
        <v>16839800</v>
      </c>
      <c r="E22" s="18">
        <f>SUM(E23:E25)</f>
        <v>13901834.699999999</v>
      </c>
      <c r="F22" s="18">
        <f>E22-D22</f>
        <v>-2937965.3000000007</v>
      </c>
      <c r="G22" s="19">
        <f>(E22/D22)*100</f>
        <v>82.553443033765234</v>
      </c>
      <c r="H22" s="19">
        <f>(E22/C22)*100</f>
        <v>8.658520771485243</v>
      </c>
    </row>
    <row r="23" spans="1:8" x14ac:dyDescent="0.25">
      <c r="A23" s="22" t="s">
        <v>18</v>
      </c>
      <c r="B23" s="23">
        <v>22752800</v>
      </c>
      <c r="C23" s="23">
        <v>22752800</v>
      </c>
      <c r="D23" s="23">
        <v>16839800</v>
      </c>
      <c r="E23" s="23">
        <v>13901834.699999999</v>
      </c>
      <c r="F23" s="23">
        <f>E23-D23</f>
        <v>-2937965.3000000007</v>
      </c>
      <c r="G23" s="24">
        <f>(E23/D23)*100</f>
        <v>82.553443033765234</v>
      </c>
      <c r="H23" s="24">
        <f>(E23/C23)*100</f>
        <v>61.099445782497099</v>
      </c>
    </row>
    <row r="24" spans="1:8" ht="30" x14ac:dyDescent="0.25">
      <c r="A24" s="22" t="s">
        <v>26</v>
      </c>
      <c r="B24" s="23">
        <v>39821800</v>
      </c>
      <c r="C24" s="23">
        <v>137803894</v>
      </c>
      <c r="D24" s="23">
        <v>0</v>
      </c>
      <c r="E24" s="23">
        <v>0</v>
      </c>
      <c r="F24" s="23">
        <f>E24-D24</f>
        <v>0</v>
      </c>
      <c r="G24" s="24">
        <v>0</v>
      </c>
      <c r="H24" s="24">
        <f>(E24/C24)*100</f>
        <v>0</v>
      </c>
    </row>
    <row r="25" spans="1:8" ht="30" x14ac:dyDescent="0.25">
      <c r="A25" s="22" t="s">
        <v>3</v>
      </c>
      <c r="B25" s="23">
        <v>689600</v>
      </c>
      <c r="C25" s="23">
        <v>0</v>
      </c>
      <c r="D25" s="23">
        <v>0</v>
      </c>
      <c r="E25" s="23">
        <v>0</v>
      </c>
      <c r="F25" s="23">
        <f>E25-D25</f>
        <v>0</v>
      </c>
      <c r="G25" s="24">
        <v>0</v>
      </c>
      <c r="H25" s="24">
        <v>0</v>
      </c>
    </row>
    <row r="26" spans="1:8" s="20" customFormat="1" ht="30" x14ac:dyDescent="0.25">
      <c r="A26" s="17" t="s">
        <v>44</v>
      </c>
      <c r="B26" s="18">
        <f>B27</f>
        <v>38059100</v>
      </c>
      <c r="C26" s="18">
        <f>C27</f>
        <v>37621800</v>
      </c>
      <c r="D26" s="18">
        <f>SUM(D27:D27)</f>
        <v>28190141</v>
      </c>
      <c r="E26" s="18">
        <f>SUM(E27:E27)</f>
        <v>24529106.079999998</v>
      </c>
      <c r="F26" s="18">
        <f>E26-D26</f>
        <v>-3661034.9200000018</v>
      </c>
      <c r="G26" s="19">
        <f>(E26/D26)*100</f>
        <v>87.013066305698857</v>
      </c>
      <c r="H26" s="19">
        <f>(E26/C26)*100</f>
        <v>65.199182601576737</v>
      </c>
    </row>
    <row r="27" spans="1:8" x14ac:dyDescent="0.25">
      <c r="A27" s="22" t="s">
        <v>18</v>
      </c>
      <c r="B27" s="23">
        <v>38059100</v>
      </c>
      <c r="C27" s="23">
        <v>37621800</v>
      </c>
      <c r="D27" s="23">
        <v>28190141</v>
      </c>
      <c r="E27" s="23">
        <v>24529106.079999998</v>
      </c>
      <c r="F27" s="23">
        <f>E27-D27</f>
        <v>-3661034.9200000018</v>
      </c>
      <c r="G27" s="24">
        <f>(E27/D27)*100</f>
        <v>87.013066305698857</v>
      </c>
      <c r="H27" s="24">
        <f>(E27/C27)*100</f>
        <v>65.199182601576737</v>
      </c>
    </row>
    <row r="28" spans="1:8" s="16" customFormat="1" ht="28.5" x14ac:dyDescent="0.25">
      <c r="A28" s="25" t="s">
        <v>30</v>
      </c>
      <c r="B28" s="14">
        <f>SUM(B29:B35)</f>
        <v>3382446</v>
      </c>
      <c r="C28" s="14">
        <f>SUM(C29:C35)</f>
        <v>5850064</v>
      </c>
      <c r="D28" s="14">
        <f>SUM(D29:D35)</f>
        <v>5087496</v>
      </c>
      <c r="E28" s="14">
        <f>SUM(E29:E35)</f>
        <v>4114060.81</v>
      </c>
      <c r="F28" s="14">
        <f>E28-D28</f>
        <v>-973435.19</v>
      </c>
      <c r="G28" s="15">
        <f>(E28/D28)*100</f>
        <v>80.866123727664856</v>
      </c>
      <c r="H28" s="15">
        <f>(E28/C28)*100</f>
        <v>70.325056443826938</v>
      </c>
    </row>
    <row r="29" spans="1:8" x14ac:dyDescent="0.25">
      <c r="A29" s="26" t="s">
        <v>18</v>
      </c>
      <c r="B29" s="23"/>
      <c r="C29" s="23">
        <v>50000</v>
      </c>
      <c r="D29" s="23">
        <v>50000</v>
      </c>
      <c r="E29" s="23">
        <v>0</v>
      </c>
      <c r="F29" s="23">
        <f>E29-D29</f>
        <v>-50000</v>
      </c>
      <c r="G29" s="24">
        <f>(E29/D29)*100</f>
        <v>0</v>
      </c>
      <c r="H29" s="24">
        <f>(E29/C29)*100</f>
        <v>0</v>
      </c>
    </row>
    <row r="30" spans="1:8" ht="30" x14ac:dyDescent="0.25">
      <c r="A30" s="22" t="s">
        <v>26</v>
      </c>
      <c r="B30" s="23"/>
      <c r="C30" s="23">
        <v>38396</v>
      </c>
      <c r="D30" s="23">
        <v>38396</v>
      </c>
      <c r="E30" s="23">
        <v>0</v>
      </c>
      <c r="F30" s="23">
        <f>E30-D30</f>
        <v>-38396</v>
      </c>
      <c r="G30" s="24">
        <f>(E30/D30)*100</f>
        <v>0</v>
      </c>
      <c r="H30" s="24">
        <f>(E30/C30)*100</f>
        <v>0</v>
      </c>
    </row>
    <row r="31" spans="1:8" ht="30" x14ac:dyDescent="0.25">
      <c r="A31" s="22" t="s">
        <v>22</v>
      </c>
      <c r="B31" s="23">
        <v>1699600</v>
      </c>
      <c r="C31" s="23">
        <v>1797168</v>
      </c>
      <c r="D31" s="23">
        <v>1699600</v>
      </c>
      <c r="E31" s="23">
        <v>1447859</v>
      </c>
      <c r="F31" s="23">
        <f>E31-D31</f>
        <v>-251741</v>
      </c>
      <c r="G31" s="24">
        <f>(E31/D31)*100</f>
        <v>85.188220757825377</v>
      </c>
      <c r="H31" s="24">
        <f>(E31/C31)*100</f>
        <v>80.563364137353872</v>
      </c>
    </row>
    <row r="32" spans="1:8" x14ac:dyDescent="0.25">
      <c r="A32" s="26" t="s">
        <v>25</v>
      </c>
      <c r="B32" s="23">
        <v>1587550</v>
      </c>
      <c r="C32" s="23">
        <v>1684724</v>
      </c>
      <c r="D32" s="23">
        <v>1684724</v>
      </c>
      <c r="E32" s="23">
        <v>1676288.5</v>
      </c>
      <c r="F32" s="23">
        <f>E32-D32</f>
        <v>-8435.5</v>
      </c>
      <c r="G32" s="24">
        <f>(E32/D32)*100</f>
        <v>99.499294839985666</v>
      </c>
      <c r="H32" s="24">
        <f>(E32/C32)*100</f>
        <v>99.499294839985666</v>
      </c>
    </row>
    <row r="33" spans="1:8" ht="30" x14ac:dyDescent="0.25">
      <c r="A33" s="22" t="s">
        <v>4</v>
      </c>
      <c r="B33" s="23">
        <v>95296</v>
      </c>
      <c r="C33" s="23">
        <v>95296</v>
      </c>
      <c r="D33" s="23">
        <v>95296</v>
      </c>
      <c r="E33" s="23">
        <v>94272</v>
      </c>
      <c r="F33" s="23">
        <f>E33-D33</f>
        <v>-1024</v>
      </c>
      <c r="G33" s="24">
        <f>(E33/D33)*100</f>
        <v>98.925453324378779</v>
      </c>
      <c r="H33" s="24">
        <f>(E33/C33)*100</f>
        <v>98.925453324378779</v>
      </c>
    </row>
    <row r="34" spans="1:8" ht="30" x14ac:dyDescent="0.25">
      <c r="A34" s="22" t="s">
        <v>24</v>
      </c>
      <c r="B34" s="23"/>
      <c r="C34" s="23">
        <v>89192</v>
      </c>
      <c r="D34" s="23">
        <v>89192</v>
      </c>
      <c r="E34" s="23">
        <v>89191.67</v>
      </c>
      <c r="F34" s="23">
        <f>E34-D34</f>
        <v>-0.33000000000174623</v>
      </c>
      <c r="G34" s="24">
        <f>(E34/D34)*100</f>
        <v>99.99963001166023</v>
      </c>
      <c r="H34" s="24">
        <f>(E34/C34)*100</f>
        <v>99.99963001166023</v>
      </c>
    </row>
    <row r="35" spans="1:8" ht="30" x14ac:dyDescent="0.25">
      <c r="A35" s="22" t="s">
        <v>3</v>
      </c>
      <c r="B35" s="23">
        <v>0</v>
      </c>
      <c r="C35" s="23">
        <v>2095288</v>
      </c>
      <c r="D35" s="23">
        <v>1430288</v>
      </c>
      <c r="E35" s="23">
        <v>806449.64</v>
      </c>
      <c r="F35" s="23">
        <f>E35-D35</f>
        <v>-623838.36</v>
      </c>
      <c r="G35" s="24">
        <f>(E35/D35)*100</f>
        <v>56.383724117100897</v>
      </c>
      <c r="H35" s="24">
        <f>(E35/C35)*100</f>
        <v>38.488725177636681</v>
      </c>
    </row>
    <row r="36" spans="1:8" s="16" customFormat="1" ht="28.5" x14ac:dyDescent="0.25">
      <c r="A36" s="13" t="s">
        <v>57</v>
      </c>
      <c r="B36" s="14">
        <f>B37+B41</f>
        <v>636157994</v>
      </c>
      <c r="C36" s="14">
        <f>C37+C41</f>
        <v>659226328.23000002</v>
      </c>
      <c r="D36" s="14">
        <f>D37+D41</f>
        <v>496730384.23000002</v>
      </c>
      <c r="E36" s="14">
        <f>E37+E41</f>
        <v>425607400.65999997</v>
      </c>
      <c r="F36" s="14">
        <f>E36-D36</f>
        <v>-71122983.570000052</v>
      </c>
      <c r="G36" s="15">
        <f>(E36/D36)*100</f>
        <v>85.681773084960284</v>
      </c>
      <c r="H36" s="15">
        <f>(E36/C36)*100</f>
        <v>64.561650898067313</v>
      </c>
    </row>
    <row r="37" spans="1:8" s="20" customFormat="1" ht="30" x14ac:dyDescent="0.25">
      <c r="A37" s="17" t="s">
        <v>61</v>
      </c>
      <c r="B37" s="18">
        <f>SUM(B38:B40)</f>
        <v>608232645</v>
      </c>
      <c r="C37" s="18">
        <f>SUM(C38:C40)</f>
        <v>631300979.23000002</v>
      </c>
      <c r="D37" s="18">
        <f>SUM(D38:D40)</f>
        <v>477503467.23000002</v>
      </c>
      <c r="E37" s="18">
        <f>SUM(E38:E40)</f>
        <v>407085967.88999999</v>
      </c>
      <c r="F37" s="18">
        <f>E37-D37</f>
        <v>-70417499.340000033</v>
      </c>
      <c r="G37" s="19">
        <f>(E37/D37)*100</f>
        <v>85.252986800600155</v>
      </c>
      <c r="H37" s="19">
        <f>(E37/C37)*100</f>
        <v>64.483658553250493</v>
      </c>
    </row>
    <row r="38" spans="1:8" x14ac:dyDescent="0.25">
      <c r="A38" s="22" t="s">
        <v>18</v>
      </c>
      <c r="B38" s="23">
        <v>1046000</v>
      </c>
      <c r="C38" s="23">
        <v>592663</v>
      </c>
      <c r="D38" s="23">
        <v>592663</v>
      </c>
      <c r="E38" s="23">
        <v>488663</v>
      </c>
      <c r="F38" s="23">
        <f>E38-D38</f>
        <v>-104000</v>
      </c>
      <c r="G38" s="24">
        <f>(E38/D38)*100</f>
        <v>82.452084911661444</v>
      </c>
      <c r="H38" s="24">
        <f>(E38/C38)*100</f>
        <v>82.452084911661444</v>
      </c>
    </row>
    <row r="39" spans="1:8" x14ac:dyDescent="0.25">
      <c r="A39" s="27" t="s">
        <v>25</v>
      </c>
      <c r="B39" s="23">
        <v>607186645</v>
      </c>
      <c r="C39" s="23">
        <v>625223455.23000002</v>
      </c>
      <c r="D39" s="23">
        <f>317216289.23+146920909+8367319</f>
        <v>472504517.23000002</v>
      </c>
      <c r="E39" s="23">
        <f>270643603.02+129643197.57+6310504.3</f>
        <v>406597304.88999999</v>
      </c>
      <c r="F39" s="23">
        <f>E39-D39</f>
        <v>-65907212.340000033</v>
      </c>
      <c r="G39" s="24">
        <f>(E39/D39)*100</f>
        <v>86.051516983081342</v>
      </c>
      <c r="H39" s="24">
        <f>(E39/C39)*100</f>
        <v>65.032317883919703</v>
      </c>
    </row>
    <row r="40" spans="1:8" ht="30" x14ac:dyDescent="0.25">
      <c r="A40" s="22" t="s">
        <v>24</v>
      </c>
      <c r="B40" s="23">
        <v>0</v>
      </c>
      <c r="C40" s="23">
        <v>5484861</v>
      </c>
      <c r="D40" s="23">
        <f>4406287</f>
        <v>4406287</v>
      </c>
      <c r="E40" s="23">
        <v>0</v>
      </c>
      <c r="F40" s="23">
        <f>E40-D40</f>
        <v>-4406287</v>
      </c>
      <c r="G40" s="24">
        <f>(E40/D40)*100</f>
        <v>0</v>
      </c>
      <c r="H40" s="24">
        <f>(E40/C40)*100</f>
        <v>0</v>
      </c>
    </row>
    <row r="41" spans="1:8" s="20" customFormat="1" ht="30" x14ac:dyDescent="0.25">
      <c r="A41" s="17" t="s">
        <v>45</v>
      </c>
      <c r="B41" s="18">
        <f>B42</f>
        <v>27925349</v>
      </c>
      <c r="C41" s="18">
        <f>C42</f>
        <v>27925349</v>
      </c>
      <c r="D41" s="18">
        <f>D42</f>
        <v>19226917</v>
      </c>
      <c r="E41" s="18">
        <f>E42</f>
        <v>18521432.77</v>
      </c>
      <c r="F41" s="18">
        <f>E41-D41</f>
        <v>-705484.23000000045</v>
      </c>
      <c r="G41" s="19">
        <f>(E41/D41)*100</f>
        <v>96.330746993914829</v>
      </c>
      <c r="H41" s="19">
        <f>(E41/C41)*100</f>
        <v>66.32480321015862</v>
      </c>
    </row>
    <row r="42" spans="1:8" x14ac:dyDescent="0.25">
      <c r="A42" s="27" t="s">
        <v>25</v>
      </c>
      <c r="B42" s="23">
        <v>27925349</v>
      </c>
      <c r="C42" s="23">
        <v>27925349</v>
      </c>
      <c r="D42" s="23">
        <v>19226917</v>
      </c>
      <c r="E42" s="23">
        <v>18521432.77</v>
      </c>
      <c r="F42" s="23">
        <f>E42-D42</f>
        <v>-705484.23000000045</v>
      </c>
      <c r="G42" s="24">
        <f>(E42/D42)*100</f>
        <v>96.330746993914829</v>
      </c>
      <c r="H42" s="24">
        <f>(E42/C42)*100</f>
        <v>66.32480321015862</v>
      </c>
    </row>
    <row r="43" spans="1:8" s="16" customFormat="1" ht="28.5" x14ac:dyDescent="0.25">
      <c r="A43" s="13" t="s">
        <v>31</v>
      </c>
      <c r="B43" s="14">
        <f>B44+B50+B47</f>
        <v>1040570965</v>
      </c>
      <c r="C43" s="14">
        <f>C44+C47+C50</f>
        <v>1505571236</v>
      </c>
      <c r="D43" s="14">
        <f>D44+D50+D47</f>
        <v>638886475</v>
      </c>
      <c r="E43" s="14">
        <f>E44+E50+E47</f>
        <v>487284182.50999999</v>
      </c>
      <c r="F43" s="14">
        <f>E43-D43</f>
        <v>-151602292.49000001</v>
      </c>
      <c r="G43" s="15">
        <f>(E43/D43)*100</f>
        <v>76.270855868407608</v>
      </c>
      <c r="H43" s="15">
        <f>(E43/C43)*100</f>
        <v>32.36540197225181</v>
      </c>
    </row>
    <row r="44" spans="1:8" s="20" customFormat="1" ht="30" x14ac:dyDescent="0.25">
      <c r="A44" s="17" t="s">
        <v>56</v>
      </c>
      <c r="B44" s="18">
        <f>SUM(B45:B46)</f>
        <v>578610860</v>
      </c>
      <c r="C44" s="18">
        <f>SUM(C45:C46)</f>
        <v>577906954</v>
      </c>
      <c r="D44" s="18">
        <f>SUM(D45:D46)</f>
        <v>458452173</v>
      </c>
      <c r="E44" s="18">
        <f>SUM(E45:E46)</f>
        <v>401072848.20999998</v>
      </c>
      <c r="F44" s="18">
        <f>E44-D44</f>
        <v>-57379324.790000021</v>
      </c>
      <c r="G44" s="19">
        <f>(E44/D44)*100</f>
        <v>87.484119790615537</v>
      </c>
      <c r="H44" s="19">
        <f>(E44/C44)*100</f>
        <v>69.40093823650372</v>
      </c>
    </row>
    <row r="45" spans="1:8" ht="30" x14ac:dyDescent="0.25">
      <c r="A45" s="22" t="s">
        <v>22</v>
      </c>
      <c r="B45" s="23">
        <v>299170</v>
      </c>
      <c r="C45" s="23">
        <v>299170</v>
      </c>
      <c r="D45" s="23">
        <v>263170</v>
      </c>
      <c r="E45" s="23">
        <v>15000</v>
      </c>
      <c r="F45" s="23">
        <f>E45-D45</f>
        <v>-248170</v>
      </c>
      <c r="G45" s="24">
        <f>(E45/D45)*100</f>
        <v>5.6997378120606452</v>
      </c>
      <c r="H45" s="24">
        <f>(E45/C45)*100</f>
        <v>5.0138717117358027</v>
      </c>
    </row>
    <row r="46" spans="1:8" ht="30" x14ac:dyDescent="0.25">
      <c r="A46" s="22" t="s">
        <v>4</v>
      </c>
      <c r="B46" s="23">
        <v>578311690</v>
      </c>
      <c r="C46" s="23">
        <v>577607784</v>
      </c>
      <c r="D46" s="23">
        <v>458189003</v>
      </c>
      <c r="E46" s="23">
        <v>401057848.20999998</v>
      </c>
      <c r="F46" s="23">
        <f>E46-D46</f>
        <v>-57131154.790000021</v>
      </c>
      <c r="G46" s="24">
        <f>(E46/D46)*100</f>
        <v>87.531094282941567</v>
      </c>
      <c r="H46" s="24">
        <f>(E46/C46)*100</f>
        <v>69.434287300047885</v>
      </c>
    </row>
    <row r="47" spans="1:8" s="20" customFormat="1" ht="30" x14ac:dyDescent="0.25">
      <c r="A47" s="17" t="s">
        <v>46</v>
      </c>
      <c r="B47" s="18">
        <f>SUM(B48:B49)</f>
        <v>440842105</v>
      </c>
      <c r="C47" s="18">
        <f>SUM(C48:C49)</f>
        <v>906434913</v>
      </c>
      <c r="D47" s="18">
        <f>SUM(D48:D49)</f>
        <v>164831533</v>
      </c>
      <c r="E47" s="18">
        <f>SUM(E48:E49)</f>
        <v>71468138.579999998</v>
      </c>
      <c r="F47" s="18">
        <f>E47-D47</f>
        <v>-93363394.420000002</v>
      </c>
      <c r="G47" s="19">
        <f>(E47/D47)*100</f>
        <v>43.358292724244698</v>
      </c>
      <c r="H47" s="19">
        <f>(E47/C47)*100</f>
        <v>7.8845306546571639</v>
      </c>
    </row>
    <row r="48" spans="1:8" s="16" customFormat="1" ht="30" x14ac:dyDescent="0.25">
      <c r="A48" s="22" t="s">
        <v>4</v>
      </c>
      <c r="B48" s="23">
        <v>0</v>
      </c>
      <c r="C48" s="23">
        <v>4481994</v>
      </c>
      <c r="D48" s="23">
        <f>1929460+2552534</f>
        <v>4481994</v>
      </c>
      <c r="E48" s="23">
        <f>486630+2552533.21</f>
        <v>3039163.21</v>
      </c>
      <c r="F48" s="23">
        <f>E48-D48</f>
        <v>-1442830.79</v>
      </c>
      <c r="G48" s="24">
        <f>(E48/D48)*100</f>
        <v>67.808283768340601</v>
      </c>
      <c r="H48" s="24">
        <f>(E48/C48)*100</f>
        <v>67.808283768340601</v>
      </c>
    </row>
    <row r="49" spans="1:8" ht="30" x14ac:dyDescent="0.25">
      <c r="A49" s="22" t="s">
        <v>24</v>
      </c>
      <c r="B49" s="23">
        <v>440842105</v>
      </c>
      <c r="C49" s="23">
        <v>901952919</v>
      </c>
      <c r="D49" s="23">
        <v>160349539</v>
      </c>
      <c r="E49" s="23">
        <f>68428975.37</f>
        <v>68428975.370000005</v>
      </c>
      <c r="F49" s="23">
        <f>E49-D49</f>
        <v>-91920563.629999995</v>
      </c>
      <c r="G49" s="24">
        <f>(E49/D49)*100</f>
        <v>42.674881260494303</v>
      </c>
      <c r="H49" s="24">
        <f>(E49/C49)*100</f>
        <v>7.5867569058779232</v>
      </c>
    </row>
    <row r="50" spans="1:8" s="20" customFormat="1" ht="30" x14ac:dyDescent="0.25">
      <c r="A50" s="17" t="s">
        <v>47</v>
      </c>
      <c r="B50" s="18">
        <f>SUM(B51:B51)</f>
        <v>21118000</v>
      </c>
      <c r="C50" s="18">
        <f>SUM(C51:C51)</f>
        <v>21229369</v>
      </c>
      <c r="D50" s="18">
        <f>SUM(D51:D51)</f>
        <v>15602769</v>
      </c>
      <c r="E50" s="18">
        <f>SUM(E51:E51)</f>
        <v>14743195.720000001</v>
      </c>
      <c r="F50" s="18">
        <f>E50-D50</f>
        <v>-859573.27999999933</v>
      </c>
      <c r="G50" s="19">
        <f>(E50/D50)*100</f>
        <v>94.490892738333827</v>
      </c>
      <c r="H50" s="19">
        <f>(E50/C50)*100</f>
        <v>69.447168778308949</v>
      </c>
    </row>
    <row r="51" spans="1:8" ht="30" x14ac:dyDescent="0.25">
      <c r="A51" s="22" t="s">
        <v>4</v>
      </c>
      <c r="B51" s="23">
        <v>21118000</v>
      </c>
      <c r="C51" s="23">
        <v>21229369</v>
      </c>
      <c r="D51" s="23">
        <v>15602769</v>
      </c>
      <c r="E51" s="23">
        <v>14743195.720000001</v>
      </c>
      <c r="F51" s="23">
        <f>E51-D51</f>
        <v>-859573.27999999933</v>
      </c>
      <c r="G51" s="24">
        <f>(E51/D51)*100</f>
        <v>94.490892738333827</v>
      </c>
      <c r="H51" s="24">
        <f>(E51/C51)*100</f>
        <v>69.447168778308949</v>
      </c>
    </row>
    <row r="52" spans="1:8" s="16" customFormat="1" ht="28.5" x14ac:dyDescent="0.25">
      <c r="A52" s="13" t="s">
        <v>32</v>
      </c>
      <c r="B52" s="14">
        <f>B53+B60+B63+B57</f>
        <v>1714117763</v>
      </c>
      <c r="C52" s="14">
        <f>C53+C60+C63+C57</f>
        <v>2199357472</v>
      </c>
      <c r="D52" s="14">
        <f>D53+D60+D63+D57</f>
        <v>910180966</v>
      </c>
      <c r="E52" s="14">
        <f>E53+E60+E63+E57</f>
        <v>323445977.50999999</v>
      </c>
      <c r="F52" s="14">
        <f>E52-D52</f>
        <v>-586734988.49000001</v>
      </c>
      <c r="G52" s="15">
        <f>(E52/D52)*100</f>
        <v>35.536447101443777</v>
      </c>
      <c r="H52" s="15">
        <f>(E52/C52)*100</f>
        <v>14.706385006884409</v>
      </c>
    </row>
    <row r="53" spans="1:8" s="20" customFormat="1" ht="30" x14ac:dyDescent="0.25">
      <c r="A53" s="17" t="s">
        <v>48</v>
      </c>
      <c r="B53" s="18">
        <f>SUM(B54:B56)</f>
        <v>188916563</v>
      </c>
      <c r="C53" s="18">
        <f>SUM(C54:C56)</f>
        <v>305798578</v>
      </c>
      <c r="D53" s="18">
        <f>SUM(D54:D56)</f>
        <v>176401649</v>
      </c>
      <c r="E53" s="18">
        <f>SUM(E54:E56)</f>
        <v>25233939.949999999</v>
      </c>
      <c r="F53" s="18">
        <f>E53-D53</f>
        <v>-151167709.05000001</v>
      </c>
      <c r="G53" s="19">
        <f>(E53/D53)*100</f>
        <v>14.304820897677661</v>
      </c>
      <c r="H53" s="19">
        <f>(E53/C53)*100</f>
        <v>8.2518172958933764</v>
      </c>
    </row>
    <row r="54" spans="1:8" s="20" customFormat="1" ht="30" x14ac:dyDescent="0.25">
      <c r="A54" s="22" t="s">
        <v>26</v>
      </c>
      <c r="B54" s="18"/>
      <c r="C54" s="23">
        <v>4074119</v>
      </c>
      <c r="D54" s="23">
        <f>3707448+366671</f>
        <v>4074119</v>
      </c>
      <c r="E54" s="23">
        <f>3707447.15+366670.6</f>
        <v>4074117.75</v>
      </c>
      <c r="F54" s="23">
        <f>E54-D54</f>
        <v>-1.25</v>
      </c>
      <c r="G54" s="24">
        <f>(E54/D54)*100</f>
        <v>99.999969318520158</v>
      </c>
      <c r="H54" s="24">
        <f>(E54/C54)*100</f>
        <v>99.999969318520158</v>
      </c>
    </row>
    <row r="55" spans="1:8" ht="30" x14ac:dyDescent="0.25">
      <c r="A55" s="22" t="s">
        <v>24</v>
      </c>
      <c r="B55" s="23">
        <v>188916563</v>
      </c>
      <c r="C55" s="23">
        <v>273631325</v>
      </c>
      <c r="D55" s="23">
        <f>6173760+18475320+110758800+36919650</f>
        <v>172327530</v>
      </c>
      <c r="E55" s="23">
        <f>3074502.98+18085319.22</f>
        <v>21159822.199999999</v>
      </c>
      <c r="F55" s="23">
        <f>E55-D55</f>
        <v>-151167707.80000001</v>
      </c>
      <c r="G55" s="24">
        <f>(E55/D55)*100</f>
        <v>12.278840299051463</v>
      </c>
      <c r="H55" s="24">
        <f>(E55/C55)*100</f>
        <v>7.732967780644266</v>
      </c>
    </row>
    <row r="56" spans="1:8" ht="30" x14ac:dyDescent="0.25">
      <c r="A56" s="22" t="s">
        <v>3</v>
      </c>
      <c r="B56" s="23"/>
      <c r="C56" s="23">
        <v>28093134</v>
      </c>
      <c r="D56" s="23">
        <v>0</v>
      </c>
      <c r="E56" s="23">
        <v>0</v>
      </c>
      <c r="F56" s="23">
        <f>E56-D56</f>
        <v>0</v>
      </c>
      <c r="G56" s="24">
        <v>0</v>
      </c>
      <c r="H56" s="24">
        <f>(E56/C56)*100</f>
        <v>0</v>
      </c>
    </row>
    <row r="57" spans="1:8" s="20" customFormat="1" ht="30" x14ac:dyDescent="0.25">
      <c r="A57" s="17" t="s">
        <v>49</v>
      </c>
      <c r="B57" s="18">
        <f>SUM(B58:B59)</f>
        <v>1376467500</v>
      </c>
      <c r="C57" s="18">
        <f>SUM(C58:C59)</f>
        <v>1751465242</v>
      </c>
      <c r="D57" s="18">
        <f>SUM(D58:D59)</f>
        <v>633143607</v>
      </c>
      <c r="E57" s="18">
        <f>SUM(E58:E59)</f>
        <v>219094256.08999997</v>
      </c>
      <c r="F57" s="18">
        <f>E57-D57</f>
        <v>-414049350.91000003</v>
      </c>
      <c r="G57" s="19">
        <f>(E57/D57)*100</f>
        <v>34.604196215156605</v>
      </c>
      <c r="H57" s="19">
        <f>(E57/C57)*100</f>
        <v>12.509198060922753</v>
      </c>
    </row>
    <row r="58" spans="1:8" ht="30" x14ac:dyDescent="0.25">
      <c r="A58" s="22" t="s">
        <v>26</v>
      </c>
      <c r="B58" s="23">
        <v>1351946800</v>
      </c>
      <c r="C58" s="23">
        <v>1525603890</v>
      </c>
      <c r="D58" s="23">
        <f>1286844+1481646+129897300+249417922+37534473</f>
        <v>419618185</v>
      </c>
      <c r="E58" s="23">
        <f>1481645.88+168553333.66</f>
        <v>170034979.53999999</v>
      </c>
      <c r="F58" s="23">
        <f>E58-D58</f>
        <v>-249583205.46000001</v>
      </c>
      <c r="G58" s="24">
        <f>(E58/D58)*100</f>
        <v>40.521356227685892</v>
      </c>
      <c r="H58" s="24">
        <f>(E58/C58)*100</f>
        <v>11.145421210219908</v>
      </c>
    </row>
    <row r="59" spans="1:8" ht="30" x14ac:dyDescent="0.25">
      <c r="A59" s="22" t="s">
        <v>3</v>
      </c>
      <c r="B59" s="23">
        <v>24520700</v>
      </c>
      <c r="C59" s="23">
        <v>225861352</v>
      </c>
      <c r="D59" s="23">
        <f>189595346+5178888+18751188</f>
        <v>213525422</v>
      </c>
      <c r="E59" s="23">
        <f>42236725.23+2468603.28+4353948.04</f>
        <v>49059276.549999997</v>
      </c>
      <c r="F59" s="23">
        <f>E59-D59</f>
        <v>-164466145.44999999</v>
      </c>
      <c r="G59" s="24">
        <f>(E59/D59)*100</f>
        <v>22.975848070212454</v>
      </c>
      <c r="H59" s="24">
        <f>(E59/C59)*100</f>
        <v>21.72097001792498</v>
      </c>
    </row>
    <row r="60" spans="1:8" s="20" customFormat="1" ht="30" x14ac:dyDescent="0.25">
      <c r="A60" s="17" t="s">
        <v>50</v>
      </c>
      <c r="B60" s="18">
        <f>SUM(B61:B62)</f>
        <v>31505000</v>
      </c>
      <c r="C60" s="18">
        <f>SUM(C61:C62)</f>
        <v>25616790</v>
      </c>
      <c r="D60" s="18">
        <f>SUM(D61:D62)</f>
        <v>15363990</v>
      </c>
      <c r="E60" s="18">
        <f>SUM(E61:E62)</f>
        <v>1764033.6</v>
      </c>
      <c r="F60" s="18">
        <f>E60-D60</f>
        <v>-13599956.4</v>
      </c>
      <c r="G60" s="19">
        <f>(E60/D60)*100</f>
        <v>11.48161122208489</v>
      </c>
      <c r="H60" s="19">
        <f>(E60/C60)*100</f>
        <v>6.8862398450391327</v>
      </c>
    </row>
    <row r="61" spans="1:8" ht="30" x14ac:dyDescent="0.25">
      <c r="A61" s="22" t="s">
        <v>22</v>
      </c>
      <c r="B61" s="23">
        <v>5966800</v>
      </c>
      <c r="C61" s="23">
        <v>3858826</v>
      </c>
      <c r="D61" s="23">
        <v>3858826</v>
      </c>
      <c r="E61" s="23">
        <v>1764033.6</v>
      </c>
      <c r="F61" s="23">
        <f>E61-D61</f>
        <v>-2094792.4</v>
      </c>
      <c r="G61" s="24">
        <f>(E61/D61)*100</f>
        <v>45.714256097579941</v>
      </c>
      <c r="H61" s="24">
        <f>(E61/C61)*100</f>
        <v>45.714256097579941</v>
      </c>
    </row>
    <row r="62" spans="1:8" ht="30" x14ac:dyDescent="0.25">
      <c r="A62" s="22" t="s">
        <v>3</v>
      </c>
      <c r="B62" s="23">
        <v>25538200</v>
      </c>
      <c r="C62" s="23">
        <v>21757964</v>
      </c>
      <c r="D62" s="23">
        <v>11505164</v>
      </c>
      <c r="E62" s="23">
        <v>0</v>
      </c>
      <c r="F62" s="23">
        <f>E62-D62</f>
        <v>-11505164</v>
      </c>
      <c r="G62" s="24">
        <f>(E62/D62)*100</f>
        <v>0</v>
      </c>
      <c r="H62" s="24">
        <f>(E62/C62)*100</f>
        <v>0</v>
      </c>
    </row>
    <row r="63" spans="1:8" s="20" customFormat="1" x14ac:dyDescent="0.25">
      <c r="A63" s="17" t="s">
        <v>15</v>
      </c>
      <c r="B63" s="18">
        <f>B64</f>
        <v>117228700</v>
      </c>
      <c r="C63" s="18">
        <f>C64</f>
        <v>116476862</v>
      </c>
      <c r="D63" s="18">
        <f>D64</f>
        <v>85271720</v>
      </c>
      <c r="E63" s="18">
        <f>E64</f>
        <v>77353747.870000005</v>
      </c>
      <c r="F63" s="18">
        <f>E63-D63</f>
        <v>-7917972.1299999952</v>
      </c>
      <c r="G63" s="15">
        <f>(E63/D63)*100</f>
        <v>90.714421932617299</v>
      </c>
      <c r="H63" s="15">
        <f>(E63/C63)*100</f>
        <v>66.411256743850117</v>
      </c>
    </row>
    <row r="64" spans="1:8" ht="30" x14ac:dyDescent="0.25">
      <c r="A64" s="22" t="s">
        <v>24</v>
      </c>
      <c r="B64" s="23">
        <v>117228700</v>
      </c>
      <c r="C64" s="23">
        <v>116476862</v>
      </c>
      <c r="D64" s="23">
        <v>85271720</v>
      </c>
      <c r="E64" s="23">
        <v>77353747.870000005</v>
      </c>
      <c r="F64" s="23">
        <f>E64-D64</f>
        <v>-7917972.1299999952</v>
      </c>
      <c r="G64" s="24">
        <f>(E64/D64)*100</f>
        <v>90.714421932617299</v>
      </c>
      <c r="H64" s="24">
        <f>(E64/C64)*100</f>
        <v>66.411256743850117</v>
      </c>
    </row>
    <row r="65" spans="1:8" s="16" customFormat="1" ht="42.75" x14ac:dyDescent="0.25">
      <c r="A65" s="13" t="s">
        <v>51</v>
      </c>
      <c r="B65" s="14">
        <f>B66+B69+B72+B78+B81+B83+B86</f>
        <v>808144657</v>
      </c>
      <c r="C65" s="14">
        <f>C66+C69+C72+C78+C81+C83+C86</f>
        <v>1027826305.1800001</v>
      </c>
      <c r="D65" s="14">
        <f>D66+D69+D72+D78+D81+D83+D86</f>
        <v>598212207.01999998</v>
      </c>
      <c r="E65" s="14">
        <f>E66+E69+E72+E78+E81+E83</f>
        <v>480698011.79000002</v>
      </c>
      <c r="F65" s="14">
        <f>E65-D65</f>
        <v>-117514195.22999996</v>
      </c>
      <c r="G65" s="15">
        <f>(E65/D65)*100</f>
        <v>80.355767760842241</v>
      </c>
      <c r="H65" s="15">
        <f>(E65/C65)*100</f>
        <v>46.768409153122121</v>
      </c>
    </row>
    <row r="66" spans="1:8" s="20" customFormat="1" ht="30" x14ac:dyDescent="0.25">
      <c r="A66" s="17" t="s">
        <v>12</v>
      </c>
      <c r="B66" s="18">
        <f>SUM(B68:B68)</f>
        <v>6423000</v>
      </c>
      <c r="C66" s="18">
        <f>SUM(C67:C68)</f>
        <v>144097880</v>
      </c>
      <c r="D66" s="18">
        <f>SUM(D67:D68)</f>
        <v>131688439</v>
      </c>
      <c r="E66" s="18">
        <f>SUM(E67:E68)</f>
        <v>110010601.39</v>
      </c>
      <c r="F66" s="18">
        <f>E66-D66</f>
        <v>-21677837.609999999</v>
      </c>
      <c r="G66" s="19">
        <f>(E66/D66)*100</f>
        <v>83.538541595135769</v>
      </c>
      <c r="H66" s="19">
        <f>(E66/C66)*100</f>
        <v>76.34435800859805</v>
      </c>
    </row>
    <row r="67" spans="1:8" ht="30" x14ac:dyDescent="0.25">
      <c r="A67" s="22" t="s">
        <v>24</v>
      </c>
      <c r="B67" s="23">
        <v>0</v>
      </c>
      <c r="C67" s="23">
        <v>34089280</v>
      </c>
      <c r="D67" s="23">
        <f>24063877+96000+234082</f>
        <v>24393959</v>
      </c>
      <c r="E67" s="23">
        <f>3846164.48+234082</f>
        <v>4080246.48</v>
      </c>
      <c r="F67" s="23">
        <f>E67-D67</f>
        <v>-20313712.52</v>
      </c>
      <c r="G67" s="24">
        <f>(E67/D67)*100</f>
        <v>16.726462809911258</v>
      </c>
      <c r="H67" s="24">
        <f>(E67/C67)*100</f>
        <v>11.96929498070948</v>
      </c>
    </row>
    <row r="68" spans="1:8" ht="30" x14ac:dyDescent="0.25">
      <c r="A68" s="22" t="s">
        <v>3</v>
      </c>
      <c r="B68" s="23">
        <v>6423000</v>
      </c>
      <c r="C68" s="23">
        <v>110008600</v>
      </c>
      <c r="D68" s="23">
        <f>3658180+103636300</f>
        <v>107294480</v>
      </c>
      <c r="E68" s="23">
        <f>2294054.91+103636300</f>
        <v>105930354.91</v>
      </c>
      <c r="F68" s="23">
        <f>E68-D68</f>
        <v>-1364125.0900000036</v>
      </c>
      <c r="G68" s="24">
        <f>(E68/D68)*100</f>
        <v>98.728615777810745</v>
      </c>
      <c r="H68" s="24">
        <f>(E68/C68)*100</f>
        <v>96.292794299718381</v>
      </c>
    </row>
    <row r="69" spans="1:8" s="20" customFormat="1" ht="30" x14ac:dyDescent="0.25">
      <c r="A69" s="17" t="s">
        <v>13</v>
      </c>
      <c r="B69" s="18">
        <f>SUM(B70:B71)</f>
        <v>28859100</v>
      </c>
      <c r="C69" s="18">
        <f>SUM(C70:C71)</f>
        <v>33575129</v>
      </c>
      <c r="D69" s="18">
        <f>SUM(D70:D71)</f>
        <v>23878343</v>
      </c>
      <c r="E69" s="18">
        <f>SUM(E70:E71)</f>
        <v>18663348.469999999</v>
      </c>
      <c r="F69" s="18">
        <f>E69-D69</f>
        <v>-5214994.5300000012</v>
      </c>
      <c r="G69" s="19">
        <f>(E69/D69)*100</f>
        <v>78.160149010339623</v>
      </c>
      <c r="H69" s="19">
        <f>(E69/C69)*100</f>
        <v>55.586825801920227</v>
      </c>
    </row>
    <row r="70" spans="1:8" ht="30" x14ac:dyDescent="0.25">
      <c r="A70" s="22" t="s">
        <v>26</v>
      </c>
      <c r="B70" s="23">
        <v>1589000</v>
      </c>
      <c r="C70" s="23">
        <v>1751613</v>
      </c>
      <c r="D70" s="23">
        <v>1361738</v>
      </c>
      <c r="E70" s="23">
        <v>1359880.82</v>
      </c>
      <c r="F70" s="23">
        <f>E70-D70</f>
        <v>-1857.1799999999348</v>
      </c>
      <c r="G70" s="24">
        <f>(E70/D70)*100</f>
        <v>99.863616936591328</v>
      </c>
      <c r="H70" s="24">
        <f>(E70/C70)*100</f>
        <v>77.635917294516545</v>
      </c>
    </row>
    <row r="71" spans="1:8" ht="30" x14ac:dyDescent="0.25">
      <c r="A71" s="22" t="s">
        <v>3</v>
      </c>
      <c r="B71" s="23">
        <v>27270100</v>
      </c>
      <c r="C71" s="23">
        <v>31823516</v>
      </c>
      <c r="D71" s="23">
        <f>18303973+3912360+300272</f>
        <v>22516605</v>
      </c>
      <c r="E71" s="23">
        <f>13456137.89+3847329.76</f>
        <v>17303467.649999999</v>
      </c>
      <c r="F71" s="23">
        <f>E71-D71</f>
        <v>-5213137.3500000015</v>
      </c>
      <c r="G71" s="24">
        <f>(E71/D71)*100</f>
        <v>76.847587147351916</v>
      </c>
      <c r="H71" s="24">
        <f>(E71/C71)*100</f>
        <v>54.373211464126079</v>
      </c>
    </row>
    <row r="72" spans="1:8" s="20" customFormat="1" ht="30" x14ac:dyDescent="0.25">
      <c r="A72" s="17" t="s">
        <v>14</v>
      </c>
      <c r="B72" s="18">
        <f>SUM(B73:B77)</f>
        <v>4866700</v>
      </c>
      <c r="C72" s="18">
        <f>SUM(C73:C77)</f>
        <v>12944556</v>
      </c>
      <c r="D72" s="18">
        <f>SUM(D73:D77)</f>
        <v>10939748</v>
      </c>
      <c r="E72" s="18">
        <f>SUM(E73:E77)</f>
        <v>10001974.5</v>
      </c>
      <c r="F72" s="18">
        <f>E72-D72</f>
        <v>-937773.5</v>
      </c>
      <c r="G72" s="19">
        <f>(E72/D72)*100</f>
        <v>91.427832706932548</v>
      </c>
      <c r="H72" s="19">
        <f>(E72/C72)*100</f>
        <v>77.267806636241517</v>
      </c>
    </row>
    <row r="73" spans="1:8" x14ac:dyDescent="0.25">
      <c r="A73" s="22" t="s">
        <v>18</v>
      </c>
      <c r="B73" s="23">
        <v>285000</v>
      </c>
      <c r="C73" s="23">
        <v>285000</v>
      </c>
      <c r="D73" s="23">
        <v>285000</v>
      </c>
      <c r="E73" s="23">
        <v>0</v>
      </c>
      <c r="F73" s="23">
        <f>E73-D73</f>
        <v>-285000</v>
      </c>
      <c r="G73" s="24">
        <f>(E73/D73)*100</f>
        <v>0</v>
      </c>
      <c r="H73" s="24">
        <f>(E73/C73)*100</f>
        <v>0</v>
      </c>
    </row>
    <row r="74" spans="1:8" ht="30" x14ac:dyDescent="0.25">
      <c r="A74" s="22" t="s">
        <v>22</v>
      </c>
      <c r="B74" s="23">
        <v>2755000</v>
      </c>
      <c r="C74" s="23">
        <v>10386097</v>
      </c>
      <c r="D74" s="23">
        <f>9037848+90000</f>
        <v>9127848</v>
      </c>
      <c r="E74" s="23">
        <f>8783510+90000</f>
        <v>8873510</v>
      </c>
      <c r="F74" s="23">
        <f>E74-D74</f>
        <v>-254338</v>
      </c>
      <c r="G74" s="24">
        <f>(E74/D74)*100</f>
        <v>97.213603907514681</v>
      </c>
      <c r="H74" s="24">
        <f>(E74/C74)*100</f>
        <v>85.4364252519498</v>
      </c>
    </row>
    <row r="75" spans="1:8" x14ac:dyDescent="0.25">
      <c r="A75" s="27" t="s">
        <v>25</v>
      </c>
      <c r="B75" s="23">
        <v>200000</v>
      </c>
      <c r="C75" s="23">
        <v>333465</v>
      </c>
      <c r="D75" s="23">
        <v>333465</v>
      </c>
      <c r="E75" s="23">
        <v>333464.5</v>
      </c>
      <c r="F75" s="23">
        <f>E75-D75</f>
        <v>-0.5</v>
      </c>
      <c r="G75" s="24">
        <f>(E75/D75)*100</f>
        <v>99.999850059226603</v>
      </c>
      <c r="H75" s="24">
        <f>(E75/C75)*100</f>
        <v>99.999850059226603</v>
      </c>
    </row>
    <row r="76" spans="1:8" ht="30" x14ac:dyDescent="0.25">
      <c r="A76" s="22" t="s">
        <v>4</v>
      </c>
      <c r="B76" s="23">
        <v>795000</v>
      </c>
      <c r="C76" s="23">
        <v>795000</v>
      </c>
      <c r="D76" s="23">
        <v>795000</v>
      </c>
      <c r="E76" s="23">
        <v>795000</v>
      </c>
      <c r="F76" s="23">
        <f>E76-D76</f>
        <v>0</v>
      </c>
      <c r="G76" s="24">
        <f>(E76/D76)*100</f>
        <v>100</v>
      </c>
      <c r="H76" s="24">
        <f>(E76/C76)*100</f>
        <v>100</v>
      </c>
    </row>
    <row r="77" spans="1:8" ht="30" x14ac:dyDescent="0.25">
      <c r="A77" s="22" t="s">
        <v>3</v>
      </c>
      <c r="B77" s="23">
        <v>831700</v>
      </c>
      <c r="C77" s="23">
        <v>1144994</v>
      </c>
      <c r="D77" s="23">
        <v>398435</v>
      </c>
      <c r="E77" s="23">
        <v>0</v>
      </c>
      <c r="F77" s="23">
        <f>E77-D77</f>
        <v>-398435</v>
      </c>
      <c r="G77" s="24">
        <f>(E77/D77)*100</f>
        <v>0</v>
      </c>
      <c r="H77" s="24">
        <f>(E77/C77)*100</f>
        <v>0</v>
      </c>
    </row>
    <row r="78" spans="1:8" s="20" customFormat="1" x14ac:dyDescent="0.25">
      <c r="A78" s="17" t="s">
        <v>27</v>
      </c>
      <c r="B78" s="18">
        <f>SUM(B79:B80)</f>
        <v>441322807</v>
      </c>
      <c r="C78" s="18">
        <f>SUM(C79:C80)</f>
        <v>490455170.18000001</v>
      </c>
      <c r="D78" s="18">
        <f>SUM(D79:D80)</f>
        <v>224900245.02000001</v>
      </c>
      <c r="E78" s="18">
        <f>SUM(E79:E80)</f>
        <v>164398509.75</v>
      </c>
      <c r="F78" s="18">
        <f>E78-D78</f>
        <v>-60501735.270000011</v>
      </c>
      <c r="G78" s="19">
        <f>(E78/D78)*100</f>
        <v>73.098412914303552</v>
      </c>
      <c r="H78" s="19">
        <f>(E78/C78)*100</f>
        <v>33.519579310309801</v>
      </c>
    </row>
    <row r="79" spans="1:8" ht="30" x14ac:dyDescent="0.25">
      <c r="A79" s="22" t="s">
        <v>24</v>
      </c>
      <c r="B79" s="23"/>
      <c r="C79" s="23">
        <v>771028</v>
      </c>
      <c r="D79" s="23">
        <v>771028</v>
      </c>
      <c r="E79" s="23">
        <v>0</v>
      </c>
      <c r="F79" s="23">
        <f>E79-D79</f>
        <v>-771028</v>
      </c>
      <c r="G79" s="24">
        <f>(E79/D79)*100</f>
        <v>0</v>
      </c>
      <c r="H79" s="24">
        <f>(E79/C79)*100</f>
        <v>0</v>
      </c>
    </row>
    <row r="80" spans="1:8" ht="30" x14ac:dyDescent="0.25">
      <c r="A80" s="22" t="s">
        <v>3</v>
      </c>
      <c r="B80" s="23">
        <v>441322807</v>
      </c>
      <c r="C80" s="23">
        <v>489684142.18000001</v>
      </c>
      <c r="D80" s="23">
        <f>1795700+7566800+114779431+2100000+15000000+47775508+35111778.02</f>
        <v>224129217.02000001</v>
      </c>
      <c r="E80" s="23">
        <v>164398509.75</v>
      </c>
      <c r="F80" s="23">
        <f>E80-D80</f>
        <v>-59730707.270000011</v>
      </c>
      <c r="G80" s="24">
        <f>(E80/D80)*100</f>
        <v>73.349879116978329</v>
      </c>
      <c r="H80" s="24">
        <f>(E80/C80)*100</f>
        <v>33.572357278739432</v>
      </c>
    </row>
    <row r="81" spans="1:8" s="20" customFormat="1" x14ac:dyDescent="0.25">
      <c r="A81" s="17" t="s">
        <v>15</v>
      </c>
      <c r="B81" s="18">
        <f>B82</f>
        <v>276241150</v>
      </c>
      <c r="C81" s="18">
        <f>C82</f>
        <v>284168418</v>
      </c>
      <c r="D81" s="18">
        <f>SUM(D82:D82)</f>
        <v>206004552</v>
      </c>
      <c r="E81" s="18">
        <f>SUM(E82:E82)</f>
        <v>177334477.68000001</v>
      </c>
      <c r="F81" s="18">
        <f>E81-D81</f>
        <v>-28670074.319999993</v>
      </c>
      <c r="G81" s="19">
        <f>(E81/D81)*100</f>
        <v>86.082795723853721</v>
      </c>
      <c r="H81" s="19">
        <f>(E81/C81)*100</f>
        <v>62.404710181410806</v>
      </c>
    </row>
    <row r="82" spans="1:8" ht="30" x14ac:dyDescent="0.25">
      <c r="A82" s="22" t="s">
        <v>3</v>
      </c>
      <c r="B82" s="23">
        <v>276241150</v>
      </c>
      <c r="C82" s="23">
        <v>284168418</v>
      </c>
      <c r="D82" s="23">
        <v>206004552</v>
      </c>
      <c r="E82" s="23">
        <v>177334477.68000001</v>
      </c>
      <c r="F82" s="23">
        <f>E82-D82</f>
        <v>-28670074.319999993</v>
      </c>
      <c r="G82" s="24">
        <f>(E82/D82)*100</f>
        <v>86.082795723853721</v>
      </c>
      <c r="H82" s="24">
        <f>(E82/C82)*100</f>
        <v>62.404710181410806</v>
      </c>
    </row>
    <row r="83" spans="1:8" s="20" customFormat="1" ht="75" x14ac:dyDescent="0.25">
      <c r="A83" s="17" t="s">
        <v>52</v>
      </c>
      <c r="B83" s="18">
        <f>SUM(B84:B85)</f>
        <v>50431900</v>
      </c>
      <c r="C83" s="18">
        <f>SUM(C84:C85)</f>
        <v>62384752</v>
      </c>
      <c r="D83" s="18">
        <f>SUM(D84:D85)</f>
        <v>600480</v>
      </c>
      <c r="E83" s="18">
        <f>SUM(E84:E85)</f>
        <v>289100</v>
      </c>
      <c r="F83" s="18">
        <f>E83-D83</f>
        <v>-311380</v>
      </c>
      <c r="G83" s="19">
        <f>(E83/D83)*100</f>
        <v>48.144817479349854</v>
      </c>
      <c r="H83" s="19">
        <f>(E83/C83)*100</f>
        <v>0.46341452154847068</v>
      </c>
    </row>
    <row r="84" spans="1:8" ht="30" x14ac:dyDescent="0.25">
      <c r="A84" s="22" t="s">
        <v>24</v>
      </c>
      <c r="B84" s="23"/>
      <c r="C84" s="23">
        <v>30732014</v>
      </c>
      <c r="D84" s="23">
        <v>0</v>
      </c>
      <c r="E84" s="23">
        <v>0</v>
      </c>
      <c r="F84" s="23">
        <f>E84-D84</f>
        <v>0</v>
      </c>
      <c r="G84" s="24">
        <v>0</v>
      </c>
      <c r="H84" s="24">
        <f>(E84/C84)*100</f>
        <v>0</v>
      </c>
    </row>
    <row r="85" spans="1:8" ht="30" x14ac:dyDescent="0.25">
      <c r="A85" s="22" t="s">
        <v>3</v>
      </c>
      <c r="B85" s="23">
        <v>50431900</v>
      </c>
      <c r="C85" s="23">
        <v>31652738</v>
      </c>
      <c r="D85" s="23">
        <v>600480</v>
      </c>
      <c r="E85" s="23">
        <v>289100</v>
      </c>
      <c r="F85" s="23">
        <f>E85-D85</f>
        <v>-311380</v>
      </c>
      <c r="G85" s="24">
        <f>(E85/D85)*100</f>
        <v>48.144817479349854</v>
      </c>
      <c r="H85" s="24">
        <f>(E85/C85)*100</f>
        <v>0.91334910742950581</v>
      </c>
    </row>
    <row r="86" spans="1:8" s="20" customFormat="1" ht="30" x14ac:dyDescent="0.25">
      <c r="A86" s="17" t="s">
        <v>67</v>
      </c>
      <c r="B86" s="18">
        <f>B87</f>
        <v>0</v>
      </c>
      <c r="C86" s="18">
        <f>C87</f>
        <v>200400</v>
      </c>
      <c r="D86" s="18">
        <f>D87</f>
        <v>200400</v>
      </c>
      <c r="E86" s="18">
        <f>E87</f>
        <v>0</v>
      </c>
      <c r="F86" s="18">
        <f>E86-D86</f>
        <v>-200400</v>
      </c>
      <c r="G86" s="19">
        <f>(E86/D86)*100</f>
        <v>0</v>
      </c>
      <c r="H86" s="19">
        <f>(E86/C86)*100</f>
        <v>0</v>
      </c>
    </row>
    <row r="87" spans="1:8" ht="30" x14ac:dyDescent="0.25">
      <c r="A87" s="22" t="s">
        <v>3</v>
      </c>
      <c r="B87" s="23"/>
      <c r="C87" s="23">
        <v>200400</v>
      </c>
      <c r="D87" s="23">
        <v>200400</v>
      </c>
      <c r="E87" s="23">
        <v>0</v>
      </c>
      <c r="F87" s="23">
        <f>E87-D87</f>
        <v>-200400</v>
      </c>
      <c r="G87" s="24">
        <f>(E87/D87)*100</f>
        <v>0</v>
      </c>
      <c r="H87" s="24">
        <f>(E87/C87)*100</f>
        <v>0</v>
      </c>
    </row>
    <row r="88" spans="1:8" s="16" customFormat="1" ht="71.25" x14ac:dyDescent="0.25">
      <c r="A88" s="25" t="s">
        <v>62</v>
      </c>
      <c r="B88" s="14">
        <f>B89+B92</f>
        <v>3254063</v>
      </c>
      <c r="C88" s="14">
        <f>C89+C92</f>
        <v>3350993</v>
      </c>
      <c r="D88" s="14">
        <f>D89+D92</f>
        <v>2270026</v>
      </c>
      <c r="E88" s="14">
        <f>E89+E92</f>
        <v>1607283.3499999999</v>
      </c>
      <c r="F88" s="14">
        <f>E88-D88</f>
        <v>-662742.65000000014</v>
      </c>
      <c r="G88" s="15">
        <f>(E88/D88)*100</f>
        <v>70.804622942644698</v>
      </c>
      <c r="H88" s="15">
        <f>(E88/C88)*100</f>
        <v>47.964389958439178</v>
      </c>
    </row>
    <row r="89" spans="1:8" s="20" customFormat="1" x14ac:dyDescent="0.25">
      <c r="A89" s="28" t="s">
        <v>2</v>
      </c>
      <c r="B89" s="18">
        <f>SUM(B90:B91)</f>
        <v>3188800</v>
      </c>
      <c r="C89" s="18">
        <f>SUM(C90:C91)</f>
        <v>3188800</v>
      </c>
      <c r="D89" s="18">
        <f>SUM(D90:D91)</f>
        <v>2107833</v>
      </c>
      <c r="E89" s="18">
        <f>SUM(E90:E91)</f>
        <v>1510466.3499999999</v>
      </c>
      <c r="F89" s="18">
        <f>E89-D89</f>
        <v>-597366.65000000014</v>
      </c>
      <c r="G89" s="19">
        <f>(E89/D89)*100</f>
        <v>71.659678447011686</v>
      </c>
      <c r="H89" s="19">
        <f>(E89/C89)*100</f>
        <v>47.367860950827897</v>
      </c>
    </row>
    <row r="90" spans="1:8" x14ac:dyDescent="0.25">
      <c r="A90" s="26" t="s">
        <v>18</v>
      </c>
      <c r="B90" s="23">
        <v>137800</v>
      </c>
      <c r="C90" s="23">
        <v>137800</v>
      </c>
      <c r="D90" s="23">
        <f>51600+22200</f>
        <v>73800</v>
      </c>
      <c r="E90" s="23">
        <v>73138.41</v>
      </c>
      <c r="F90" s="23">
        <f>E90-D90</f>
        <v>-661.58999999999651</v>
      </c>
      <c r="G90" s="24">
        <f>(E90/D90)*100</f>
        <v>99.103536585365859</v>
      </c>
      <c r="H90" s="24">
        <f>(E90/C90)*100</f>
        <v>53.075769230769232</v>
      </c>
    </row>
    <row r="91" spans="1:8" ht="30" x14ac:dyDescent="0.25">
      <c r="A91" s="26" t="s">
        <v>3</v>
      </c>
      <c r="B91" s="23">
        <v>3051000</v>
      </c>
      <c r="C91" s="23">
        <v>3051000</v>
      </c>
      <c r="D91" s="23">
        <v>2034033</v>
      </c>
      <c r="E91" s="23">
        <v>1437327.94</v>
      </c>
      <c r="F91" s="23">
        <f>E91-D91</f>
        <v>-596705.06000000006</v>
      </c>
      <c r="G91" s="24">
        <f>(E91/D91)*100</f>
        <v>70.663943996975462</v>
      </c>
      <c r="H91" s="24">
        <f>(E91/C91)*100</f>
        <v>47.110060308095704</v>
      </c>
    </row>
    <row r="92" spans="1:8" s="20" customFormat="1" ht="30" x14ac:dyDescent="0.25">
      <c r="A92" s="28" t="s">
        <v>63</v>
      </c>
      <c r="B92" s="18">
        <f>B94+B93</f>
        <v>65263</v>
      </c>
      <c r="C92" s="18">
        <f>C94+C93</f>
        <v>162193</v>
      </c>
      <c r="D92" s="18">
        <f>D94+D93</f>
        <v>162193</v>
      </c>
      <c r="E92" s="18">
        <f>E94+E93</f>
        <v>96817</v>
      </c>
      <c r="F92" s="18">
        <f>E92-D92</f>
        <v>-65376</v>
      </c>
      <c r="G92" s="19">
        <f>(E92/D92)*100</f>
        <v>59.692465149544063</v>
      </c>
      <c r="H92" s="19">
        <f>(E92/C92)*100</f>
        <v>59.692465149544063</v>
      </c>
    </row>
    <row r="93" spans="1:8" s="30" customFormat="1" ht="30" x14ac:dyDescent="0.25">
      <c r="A93" s="22" t="s">
        <v>22</v>
      </c>
      <c r="B93" s="29"/>
      <c r="C93" s="29">
        <v>96930</v>
      </c>
      <c r="D93" s="29">
        <v>96930</v>
      </c>
      <c r="E93" s="29">
        <v>96817</v>
      </c>
      <c r="F93" s="23">
        <f>E93-D93</f>
        <v>-113</v>
      </c>
      <c r="G93" s="24">
        <f>(E93/D93)*100</f>
        <v>99.883421025482306</v>
      </c>
      <c r="H93" s="24">
        <f>(E93/C93)*100</f>
        <v>99.883421025482306</v>
      </c>
    </row>
    <row r="94" spans="1:8" x14ac:dyDescent="0.25">
      <c r="A94" s="27" t="s">
        <v>25</v>
      </c>
      <c r="B94" s="23">
        <v>65263</v>
      </c>
      <c r="C94" s="23">
        <v>65263</v>
      </c>
      <c r="D94" s="23">
        <v>65263</v>
      </c>
      <c r="E94" s="23">
        <v>0</v>
      </c>
      <c r="F94" s="23">
        <f>E94-D94</f>
        <v>-65263</v>
      </c>
      <c r="G94" s="24">
        <f>(E94/D94)*100</f>
        <v>0</v>
      </c>
      <c r="H94" s="24">
        <f>(E94/C94)*100</f>
        <v>0</v>
      </c>
    </row>
    <row r="95" spans="1:8" s="16" customFormat="1" ht="57" x14ac:dyDescent="0.25">
      <c r="A95" s="25" t="s">
        <v>55</v>
      </c>
      <c r="B95" s="14">
        <f>B96+B98</f>
        <v>12952768</v>
      </c>
      <c r="C95" s="14">
        <f>C96+C98</f>
        <v>18308889</v>
      </c>
      <c r="D95" s="14">
        <f>D96+D98</f>
        <v>13938536</v>
      </c>
      <c r="E95" s="14">
        <f>E96+E98</f>
        <v>9229259.2299999986</v>
      </c>
      <c r="F95" s="14">
        <f>E95-D95</f>
        <v>-4709276.7700000014</v>
      </c>
      <c r="G95" s="15">
        <f>(E95/D95)*100</f>
        <v>66.213978498172253</v>
      </c>
      <c r="H95" s="15">
        <f>(E95/C95)*100</f>
        <v>50.408625176546749</v>
      </c>
    </row>
    <row r="96" spans="1:8" s="20" customFormat="1" ht="45" x14ac:dyDescent="0.25">
      <c r="A96" s="17" t="s">
        <v>19</v>
      </c>
      <c r="B96" s="18">
        <f>SUM(B97:B97)</f>
        <v>259400</v>
      </c>
      <c r="C96" s="18">
        <f>SUM(C97:C97)</f>
        <v>259400</v>
      </c>
      <c r="D96" s="18">
        <f>SUM(D97:D97)</f>
        <v>259400</v>
      </c>
      <c r="E96" s="18">
        <f>SUM(E97:E97)</f>
        <v>200073.5</v>
      </c>
      <c r="F96" s="18">
        <f>E96-D96</f>
        <v>-59326.5</v>
      </c>
      <c r="G96" s="19">
        <f>(E96/D96)*100</f>
        <v>77.129336931380109</v>
      </c>
      <c r="H96" s="19">
        <f>(E96/C96)*100</f>
        <v>77.129336931380109</v>
      </c>
    </row>
    <row r="97" spans="1:8" x14ac:dyDescent="0.25">
      <c r="A97" s="22" t="s">
        <v>18</v>
      </c>
      <c r="B97" s="23">
        <v>259400</v>
      </c>
      <c r="C97" s="23">
        <v>259400</v>
      </c>
      <c r="D97" s="23">
        <v>259400</v>
      </c>
      <c r="E97" s="23">
        <v>200073.5</v>
      </c>
      <c r="F97" s="23">
        <f>E97-D97</f>
        <v>-59326.5</v>
      </c>
      <c r="G97" s="24">
        <f>(E97/D97)*100</f>
        <v>77.129336931380109</v>
      </c>
      <c r="H97" s="24">
        <f>(E97/C97)*100</f>
        <v>77.129336931380109</v>
      </c>
    </row>
    <row r="98" spans="1:8" s="20" customFormat="1" ht="30" x14ac:dyDescent="0.25">
      <c r="A98" s="17" t="s">
        <v>9</v>
      </c>
      <c r="B98" s="18">
        <f>SUM(B99:B105)</f>
        <v>12693368</v>
      </c>
      <c r="C98" s="18">
        <f>SUM(C99:C105)</f>
        <v>18049489</v>
      </c>
      <c r="D98" s="18">
        <f>SUM(D99:D105)</f>
        <v>13679136</v>
      </c>
      <c r="E98" s="18">
        <f>SUM(E99:E105)</f>
        <v>9029185.7299999986</v>
      </c>
      <c r="F98" s="18">
        <f>E98-D98</f>
        <v>-4649950.2700000014</v>
      </c>
      <c r="G98" s="15">
        <f>(E98/D98)*100</f>
        <v>66.006988526175917</v>
      </c>
      <c r="H98" s="15">
        <f>(E98/C98)*100</f>
        <v>50.024605848952284</v>
      </c>
    </row>
    <row r="99" spans="1:8" x14ac:dyDescent="0.25">
      <c r="A99" s="22" t="s">
        <v>18</v>
      </c>
      <c r="B99" s="23">
        <v>151300</v>
      </c>
      <c r="C99" s="23">
        <v>151300</v>
      </c>
      <c r="D99" s="23">
        <v>107300</v>
      </c>
      <c r="E99" s="23">
        <v>26934.560000000001</v>
      </c>
      <c r="F99" s="23">
        <f>E99-D99</f>
        <v>-80365.440000000002</v>
      </c>
      <c r="G99" s="24">
        <f>(E99/D99)*100</f>
        <v>25.102106244175211</v>
      </c>
      <c r="H99" s="24">
        <f>(E99/C99)*100</f>
        <v>17.802088565763384</v>
      </c>
    </row>
    <row r="100" spans="1:8" ht="30" x14ac:dyDescent="0.25">
      <c r="A100" s="22" t="s">
        <v>26</v>
      </c>
      <c r="B100" s="23">
        <v>131300</v>
      </c>
      <c r="C100" s="23">
        <v>131300</v>
      </c>
      <c r="D100" s="23">
        <v>85900</v>
      </c>
      <c r="E100" s="23">
        <v>28035.33</v>
      </c>
      <c r="F100" s="23">
        <f>E100-D100</f>
        <v>-57864.67</v>
      </c>
      <c r="G100" s="24">
        <f>(E100/D100)*100</f>
        <v>32.637171129220029</v>
      </c>
      <c r="H100" s="24">
        <f>(E100/C100)*100</f>
        <v>21.352117288651943</v>
      </c>
    </row>
    <row r="101" spans="1:8" ht="30" x14ac:dyDescent="0.25">
      <c r="A101" s="22" t="s">
        <v>22</v>
      </c>
      <c r="B101" s="23">
        <v>9276000</v>
      </c>
      <c r="C101" s="23">
        <v>12953148</v>
      </c>
      <c r="D101" s="23">
        <v>9474629</v>
      </c>
      <c r="E101" s="23">
        <v>7408456.9699999997</v>
      </c>
      <c r="F101" s="23">
        <f>E101-D101</f>
        <v>-2066172.0300000003</v>
      </c>
      <c r="G101" s="24">
        <f>(E101/D101)*100</f>
        <v>78.192581155420442</v>
      </c>
      <c r="H101" s="24">
        <f>(E101/C101)*100</f>
        <v>57.194258646623972</v>
      </c>
    </row>
    <row r="102" spans="1:8" x14ac:dyDescent="0.25">
      <c r="A102" s="27" t="s">
        <v>25</v>
      </c>
      <c r="B102" s="23">
        <v>1150168</v>
      </c>
      <c r="C102" s="23">
        <v>2873388</v>
      </c>
      <c r="D102" s="23">
        <v>2530938</v>
      </c>
      <c r="E102" s="23">
        <v>540318.28</v>
      </c>
      <c r="F102" s="23">
        <f>E102-D102</f>
        <v>-1990619.72</v>
      </c>
      <c r="G102" s="24">
        <f>(E102/D102)*100</f>
        <v>21.348538763098901</v>
      </c>
      <c r="H102" s="24">
        <f>(E102/C102)*100</f>
        <v>18.804222750286424</v>
      </c>
    </row>
    <row r="103" spans="1:8" ht="30" x14ac:dyDescent="0.25">
      <c r="A103" s="22" t="s">
        <v>4</v>
      </c>
      <c r="B103" s="23">
        <v>1373200</v>
      </c>
      <c r="C103" s="23">
        <v>1373200</v>
      </c>
      <c r="D103" s="23">
        <v>1047852</v>
      </c>
      <c r="E103" s="23">
        <v>820230.99</v>
      </c>
      <c r="F103" s="23">
        <f>E103-D103</f>
        <v>-227621.01</v>
      </c>
      <c r="G103" s="24">
        <f>(E103/D103)*100</f>
        <v>78.277370277481936</v>
      </c>
      <c r="H103" s="24">
        <f>(E103/C103)*100</f>
        <v>59.731356685115053</v>
      </c>
    </row>
    <row r="104" spans="1:8" ht="30" x14ac:dyDescent="0.25">
      <c r="A104" s="22" t="s">
        <v>24</v>
      </c>
      <c r="B104" s="23">
        <v>94100</v>
      </c>
      <c r="C104" s="23">
        <v>49853</v>
      </c>
      <c r="D104" s="23">
        <v>49853</v>
      </c>
      <c r="E104" s="23">
        <v>24000</v>
      </c>
      <c r="F104" s="23">
        <f>E104-D104</f>
        <v>-25853</v>
      </c>
      <c r="G104" s="24">
        <f>(E104/D104)*100</f>
        <v>48.14153611618157</v>
      </c>
      <c r="H104" s="24">
        <f>(E104/C104)*100</f>
        <v>48.14153611618157</v>
      </c>
    </row>
    <row r="105" spans="1:8" ht="30" x14ac:dyDescent="0.25">
      <c r="A105" s="22" t="s">
        <v>3</v>
      </c>
      <c r="B105" s="23">
        <v>517300</v>
      </c>
      <c r="C105" s="23">
        <v>517300</v>
      </c>
      <c r="D105" s="23">
        <v>382664</v>
      </c>
      <c r="E105" s="23">
        <v>181209.60000000001</v>
      </c>
      <c r="F105" s="23">
        <f>E105-D105</f>
        <v>-201454.4</v>
      </c>
      <c r="G105" s="24">
        <f>(E105/D105)*100</f>
        <v>47.354755085401294</v>
      </c>
      <c r="H105" s="24">
        <f>(E105/C105)*100</f>
        <v>35.029885946259427</v>
      </c>
    </row>
    <row r="106" spans="1:8" s="16" customFormat="1" ht="28.5" x14ac:dyDescent="0.25">
      <c r="A106" s="25" t="s">
        <v>33</v>
      </c>
      <c r="B106" s="14">
        <f>B107+B109+B111+B113</f>
        <v>455938200</v>
      </c>
      <c r="C106" s="14">
        <f>C107+C109+C111+C113</f>
        <v>470005424</v>
      </c>
      <c r="D106" s="14">
        <f>D107+D111+D109+D113</f>
        <v>341112423</v>
      </c>
      <c r="E106" s="14">
        <f>E107+E111+E109+E113</f>
        <v>309231060.88999999</v>
      </c>
      <c r="F106" s="14">
        <f>E106-D106</f>
        <v>-31881362.110000014</v>
      </c>
      <c r="G106" s="15">
        <f>(E106/D106)*100</f>
        <v>90.653708290770751</v>
      </c>
      <c r="H106" s="15">
        <f>(E106/C106)*100</f>
        <v>65.793083462372977</v>
      </c>
    </row>
    <row r="107" spans="1:8" s="20" customFormat="1" x14ac:dyDescent="0.25">
      <c r="A107" s="28" t="s">
        <v>7</v>
      </c>
      <c r="B107" s="18">
        <f>B108</f>
        <v>349712200</v>
      </c>
      <c r="C107" s="18">
        <f>C108</f>
        <v>352325955</v>
      </c>
      <c r="D107" s="18">
        <f>D108</f>
        <v>247395985</v>
      </c>
      <c r="E107" s="18">
        <f>E108</f>
        <v>232281357.31999999</v>
      </c>
      <c r="F107" s="18">
        <f>E107-D107</f>
        <v>-15114627.680000007</v>
      </c>
      <c r="G107" s="19">
        <f>(E107/D107)*100</f>
        <v>93.890512135837611</v>
      </c>
      <c r="H107" s="19">
        <f>(E107/C107)*100</f>
        <v>65.927972101856653</v>
      </c>
    </row>
    <row r="108" spans="1:8" x14ac:dyDescent="0.25">
      <c r="A108" s="26" t="s">
        <v>18</v>
      </c>
      <c r="B108" s="23">
        <v>349712200</v>
      </c>
      <c r="C108" s="23">
        <v>352325955</v>
      </c>
      <c r="D108" s="23">
        <v>247395985</v>
      </c>
      <c r="E108" s="23">
        <v>232281357.31999999</v>
      </c>
      <c r="F108" s="23">
        <f>E108-D108</f>
        <v>-15114627.680000007</v>
      </c>
      <c r="G108" s="24">
        <f>(E108/D108)*100</f>
        <v>93.890512135837611</v>
      </c>
      <c r="H108" s="24">
        <f>(E108/C108)*100</f>
        <v>65.927972101856653</v>
      </c>
    </row>
    <row r="109" spans="1:8" s="20" customFormat="1" x14ac:dyDescent="0.25">
      <c r="A109" s="28" t="s">
        <v>20</v>
      </c>
      <c r="B109" s="18">
        <f>SUM(B110:B110)</f>
        <v>52219400</v>
      </c>
      <c r="C109" s="18">
        <f>SUM(C110:C110)</f>
        <v>57225469</v>
      </c>
      <c r="D109" s="18">
        <f>SUM(D110:D110)</f>
        <v>48406088</v>
      </c>
      <c r="E109" s="18">
        <f>SUM(E110:E110)</f>
        <v>42317998.439999998</v>
      </c>
      <c r="F109" s="18">
        <f>E109-D109</f>
        <v>-6088089.5600000024</v>
      </c>
      <c r="G109" s="19">
        <f>(E109/D109)*100</f>
        <v>87.422884576006226</v>
      </c>
      <c r="H109" s="19">
        <f>(E109/C109)*100</f>
        <v>73.949587796300975</v>
      </c>
    </row>
    <row r="110" spans="1:8" x14ac:dyDescent="0.25">
      <c r="A110" s="26" t="s">
        <v>18</v>
      </c>
      <c r="B110" s="23">
        <v>52219400</v>
      </c>
      <c r="C110" s="23">
        <v>57225469</v>
      </c>
      <c r="D110" s="23">
        <v>48406088</v>
      </c>
      <c r="E110" s="23">
        <v>42317998.439999998</v>
      </c>
      <c r="F110" s="23">
        <f>E110-D110</f>
        <v>-6088089.5600000024</v>
      </c>
      <c r="G110" s="24">
        <f>(E110/D110)*100</f>
        <v>87.422884576006226</v>
      </c>
      <c r="H110" s="24">
        <f>(E110/C110)*100</f>
        <v>73.949587796300975</v>
      </c>
    </row>
    <row r="111" spans="1:8" s="20" customFormat="1" x14ac:dyDescent="0.25">
      <c r="A111" s="28" t="s">
        <v>8</v>
      </c>
      <c r="B111" s="18">
        <f>B112</f>
        <v>6533500</v>
      </c>
      <c r="C111" s="18">
        <f>C112</f>
        <v>12280900</v>
      </c>
      <c r="D111" s="18">
        <f>D112</f>
        <v>10431835</v>
      </c>
      <c r="E111" s="18">
        <f>E112</f>
        <v>6184435</v>
      </c>
      <c r="F111" s="18">
        <f>E111-D111</f>
        <v>-4247400</v>
      </c>
      <c r="G111" s="19">
        <f>(E111/D111)*100</f>
        <v>59.284248648488017</v>
      </c>
      <c r="H111" s="19">
        <f>(E111/C111)*100</f>
        <v>50.358157789738534</v>
      </c>
    </row>
    <row r="112" spans="1:8" x14ac:dyDescent="0.25">
      <c r="A112" s="26" t="s">
        <v>18</v>
      </c>
      <c r="B112" s="23">
        <v>6533500</v>
      </c>
      <c r="C112" s="23">
        <v>12280900</v>
      </c>
      <c r="D112" s="23">
        <v>10431835</v>
      </c>
      <c r="E112" s="23">
        <v>6184435</v>
      </c>
      <c r="F112" s="23">
        <f>E112-D112</f>
        <v>-4247400</v>
      </c>
      <c r="G112" s="24">
        <f>(E112/D112)*100</f>
        <v>59.284248648488017</v>
      </c>
      <c r="H112" s="24">
        <f>(E112/C112)*100</f>
        <v>50.358157789738534</v>
      </c>
    </row>
    <row r="113" spans="1:8" s="20" customFormat="1" ht="45" x14ac:dyDescent="0.25">
      <c r="A113" s="28" t="s">
        <v>21</v>
      </c>
      <c r="B113" s="18">
        <f>B114+B115</f>
        <v>47473100</v>
      </c>
      <c r="C113" s="18">
        <f>C114+C115</f>
        <v>48173100</v>
      </c>
      <c r="D113" s="18">
        <f>D114+D115</f>
        <v>34878515</v>
      </c>
      <c r="E113" s="18">
        <f>E114+E115</f>
        <v>28447270.129999999</v>
      </c>
      <c r="F113" s="18">
        <f>E113-D113</f>
        <v>-6431244.870000001</v>
      </c>
      <c r="G113" s="19">
        <f>(E113/D113)*100</f>
        <v>81.56101293303341</v>
      </c>
      <c r="H113" s="19">
        <f>(E113/C113)*100</f>
        <v>59.052189147055103</v>
      </c>
    </row>
    <row r="114" spans="1:8" x14ac:dyDescent="0.25">
      <c r="A114" s="26" t="s">
        <v>18</v>
      </c>
      <c r="B114" s="23">
        <v>24236200</v>
      </c>
      <c r="C114" s="23">
        <v>24936200</v>
      </c>
      <c r="D114" s="23">
        <f>12008000+5897500</f>
        <v>17905500</v>
      </c>
      <c r="E114" s="23">
        <f>10412036.31+4073213.96</f>
        <v>14485250.27</v>
      </c>
      <c r="F114" s="23">
        <f>E114-D114</f>
        <v>-3420249.7300000004</v>
      </c>
      <c r="G114" s="24">
        <f>(E114/D114)*100</f>
        <v>80.898328837508032</v>
      </c>
      <c r="H114" s="24">
        <f>(E114/C114)*100</f>
        <v>58.089244832813336</v>
      </c>
    </row>
    <row r="115" spans="1:8" ht="30" x14ac:dyDescent="0.25">
      <c r="A115" s="22" t="s">
        <v>26</v>
      </c>
      <c r="B115" s="23">
        <v>23236900</v>
      </c>
      <c r="C115" s="23">
        <v>23236900</v>
      </c>
      <c r="D115" s="23">
        <v>16973015</v>
      </c>
      <c r="E115" s="23">
        <v>13962019.859999999</v>
      </c>
      <c r="F115" s="23">
        <f>E115-D115</f>
        <v>-3010995.1400000006</v>
      </c>
      <c r="G115" s="24">
        <f>(E115/D115)*100</f>
        <v>82.260104406907075</v>
      </c>
      <c r="H115" s="24">
        <f>(E115/C115)*100</f>
        <v>60.085552978237203</v>
      </c>
    </row>
    <row r="116" spans="1:8" s="16" customFormat="1" ht="28.5" x14ac:dyDescent="0.25">
      <c r="A116" s="13" t="s">
        <v>34</v>
      </c>
      <c r="B116" s="14">
        <f>B117+B119+B122</f>
        <v>488629132</v>
      </c>
      <c r="C116" s="14">
        <f>C117+C119+C122</f>
        <v>618062493</v>
      </c>
      <c r="D116" s="14">
        <f>D117+D119+D122</f>
        <v>449167054</v>
      </c>
      <c r="E116" s="14">
        <f>E117+E119+E122</f>
        <v>416836965.10000002</v>
      </c>
      <c r="F116" s="14">
        <f>E116-D116</f>
        <v>-32330088.899999976</v>
      </c>
      <c r="G116" s="15">
        <f>(E116/D116)*100</f>
        <v>92.802212759798721</v>
      </c>
      <c r="H116" s="15">
        <f>(E116/C116)*100</f>
        <v>67.442527223537567</v>
      </c>
    </row>
    <row r="117" spans="1:8" s="20" customFormat="1" x14ac:dyDescent="0.25">
      <c r="A117" s="17" t="s">
        <v>10</v>
      </c>
      <c r="B117" s="18">
        <f>B118</f>
        <v>263685932</v>
      </c>
      <c r="C117" s="18">
        <f>C118</f>
        <v>288562094</v>
      </c>
      <c r="D117" s="18">
        <f>D118</f>
        <v>191328586</v>
      </c>
      <c r="E117" s="18">
        <f>E118</f>
        <v>188348732.12</v>
      </c>
      <c r="F117" s="18">
        <f>E117-D117</f>
        <v>-2979853.8799999952</v>
      </c>
      <c r="G117" s="19">
        <f>(E117/D117)*100</f>
        <v>98.442546436840345</v>
      </c>
      <c r="H117" s="19">
        <f>(E117/C117)*100</f>
        <v>65.271473986461999</v>
      </c>
    </row>
    <row r="118" spans="1:8" ht="30" x14ac:dyDescent="0.25">
      <c r="A118" s="22" t="s">
        <v>3</v>
      </c>
      <c r="B118" s="23">
        <v>263685932</v>
      </c>
      <c r="C118" s="23">
        <v>288562094</v>
      </c>
      <c r="D118" s="23">
        <v>191328586</v>
      </c>
      <c r="E118" s="23">
        <v>188348732.12</v>
      </c>
      <c r="F118" s="23">
        <f>E118-D118</f>
        <v>-2979853.8799999952</v>
      </c>
      <c r="G118" s="24">
        <f>(E118/D118)*100</f>
        <v>98.442546436840345</v>
      </c>
      <c r="H118" s="24">
        <f>(E118/C118)*100</f>
        <v>65.271473986461999</v>
      </c>
    </row>
    <row r="119" spans="1:8" s="20" customFormat="1" x14ac:dyDescent="0.25">
      <c r="A119" s="17" t="s">
        <v>11</v>
      </c>
      <c r="B119" s="18">
        <f>SUM(B120:B121)</f>
        <v>222955600</v>
      </c>
      <c r="C119" s="18">
        <f>SUM(C120:C121)</f>
        <v>313177415</v>
      </c>
      <c r="D119" s="18">
        <f>SUM(D120:D121)</f>
        <v>253243223</v>
      </c>
      <c r="E119" s="18">
        <f>SUM(E120:E121)</f>
        <v>226946074.10000002</v>
      </c>
      <c r="F119" s="18">
        <f>E119-D119</f>
        <v>-26297148.899999976</v>
      </c>
      <c r="G119" s="19">
        <f>(E119/D119)*100</f>
        <v>89.615852859367536</v>
      </c>
      <c r="H119" s="19">
        <f>(E119/C119)*100</f>
        <v>72.465657876382949</v>
      </c>
    </row>
    <row r="120" spans="1:8" ht="30" x14ac:dyDescent="0.25">
      <c r="A120" s="22" t="s">
        <v>24</v>
      </c>
      <c r="B120" s="23">
        <v>0</v>
      </c>
      <c r="C120" s="23">
        <v>7978654</v>
      </c>
      <c r="D120" s="23">
        <v>2357124</v>
      </c>
      <c r="E120" s="23">
        <v>2296281.5099999998</v>
      </c>
      <c r="F120" s="23">
        <f>E120-D120</f>
        <v>-60842.490000000224</v>
      </c>
      <c r="G120" s="24">
        <f>(E120/D120)*100</f>
        <v>97.418782804807876</v>
      </c>
      <c r="H120" s="24">
        <f>(E120/C120)*100</f>
        <v>28.780311942340148</v>
      </c>
    </row>
    <row r="121" spans="1:8" ht="30" x14ac:dyDescent="0.25">
      <c r="A121" s="22" t="s">
        <v>3</v>
      </c>
      <c r="B121" s="23">
        <v>222955600</v>
      </c>
      <c r="C121" s="23">
        <v>305198761</v>
      </c>
      <c r="D121" s="23">
        <f>81620372+169265727</f>
        <v>250886099</v>
      </c>
      <c r="E121" s="23">
        <f>80460535.48+144189257.11</f>
        <v>224649792.59000003</v>
      </c>
      <c r="F121" s="23">
        <f>E121-D121</f>
        <v>-26236306.409999967</v>
      </c>
      <c r="G121" s="24">
        <f>(E121/D121)*100</f>
        <v>89.542542805450537</v>
      </c>
      <c r="H121" s="24">
        <f>(E121/C121)*100</f>
        <v>73.607701372680225</v>
      </c>
    </row>
    <row r="122" spans="1:8" s="20" customFormat="1" x14ac:dyDescent="0.25">
      <c r="A122" s="17" t="s">
        <v>53</v>
      </c>
      <c r="B122" s="18">
        <f>B123</f>
        <v>1987600</v>
      </c>
      <c r="C122" s="18">
        <f>C123</f>
        <v>16322984</v>
      </c>
      <c r="D122" s="18">
        <f>D123</f>
        <v>4595245</v>
      </c>
      <c r="E122" s="18">
        <f>E123</f>
        <v>1542158.88</v>
      </c>
      <c r="F122" s="18">
        <f>E122-D122</f>
        <v>-3053086.12</v>
      </c>
      <c r="G122" s="19">
        <f>(E122/D122)*100</f>
        <v>33.559883749397471</v>
      </c>
      <c r="H122" s="19">
        <f>(E122/C122)*100</f>
        <v>9.4477754802675786</v>
      </c>
    </row>
    <row r="123" spans="1:8" ht="30" x14ac:dyDescent="0.25">
      <c r="A123" s="22" t="s">
        <v>3</v>
      </c>
      <c r="B123" s="23">
        <v>1987600</v>
      </c>
      <c r="C123" s="23">
        <v>16322984</v>
      </c>
      <c r="D123" s="23">
        <v>4595245</v>
      </c>
      <c r="E123" s="23">
        <v>1542158.88</v>
      </c>
      <c r="F123" s="23">
        <f>E123-D123</f>
        <v>-3053086.12</v>
      </c>
      <c r="G123" s="24">
        <f>(E123/D123)*100</f>
        <v>33.559883749397471</v>
      </c>
      <c r="H123" s="24">
        <f>(E123/C123)*100</f>
        <v>9.4477754802675786</v>
      </c>
    </row>
    <row r="124" spans="1:8" s="16" customFormat="1" ht="28.5" x14ac:dyDescent="0.25">
      <c r="A124" s="25" t="s">
        <v>35</v>
      </c>
      <c r="B124" s="14">
        <f>B125+B127</f>
        <v>69386800</v>
      </c>
      <c r="C124" s="14">
        <f>C125+C127</f>
        <v>75483634</v>
      </c>
      <c r="D124" s="14">
        <f>D125+D127</f>
        <v>53023482</v>
      </c>
      <c r="E124" s="14">
        <f>E125+E127</f>
        <v>48152259.799999997</v>
      </c>
      <c r="F124" s="14">
        <f>E124-D124</f>
        <v>-4871222.200000003</v>
      </c>
      <c r="G124" s="15">
        <f>(E124/D124)*100</f>
        <v>90.813085040322321</v>
      </c>
      <c r="H124" s="15">
        <f>(E124/C124)*100</f>
        <v>63.791655552778494</v>
      </c>
    </row>
    <row r="125" spans="1:8" s="20" customFormat="1" ht="30" x14ac:dyDescent="0.25">
      <c r="A125" s="28" t="s">
        <v>5</v>
      </c>
      <c r="B125" s="18">
        <f>B126</f>
        <v>67767800</v>
      </c>
      <c r="C125" s="18">
        <f>C126</f>
        <v>69019634</v>
      </c>
      <c r="D125" s="18">
        <f>D126</f>
        <v>51419764</v>
      </c>
      <c r="E125" s="18">
        <f>E126</f>
        <v>46548542.149999999</v>
      </c>
      <c r="F125" s="18">
        <f>E125-D125</f>
        <v>-4871221.8500000015</v>
      </c>
      <c r="G125" s="19">
        <f>(E125/D125)*100</f>
        <v>90.526557356428157</v>
      </c>
      <c r="H125" s="19">
        <f>(E125/C125)*100</f>
        <v>67.442464487713735</v>
      </c>
    </row>
    <row r="126" spans="1:8" x14ac:dyDescent="0.25">
      <c r="A126" s="26" t="s">
        <v>6</v>
      </c>
      <c r="B126" s="23">
        <v>67767800</v>
      </c>
      <c r="C126" s="23">
        <v>69019634</v>
      </c>
      <c r="D126" s="23">
        <v>51419764</v>
      </c>
      <c r="E126" s="23">
        <v>46548542.149999999</v>
      </c>
      <c r="F126" s="23">
        <f>E126-D126</f>
        <v>-4871221.8500000015</v>
      </c>
      <c r="G126" s="24">
        <f>(E126/D126)*100</f>
        <v>90.526557356428157</v>
      </c>
      <c r="H126" s="24">
        <f>(E126/C126)*100</f>
        <v>67.442464487713735</v>
      </c>
    </row>
    <row r="127" spans="1:8" s="20" customFormat="1" ht="30" x14ac:dyDescent="0.25">
      <c r="A127" s="28" t="s">
        <v>64</v>
      </c>
      <c r="B127" s="18">
        <f>B128</f>
        <v>1619000</v>
      </c>
      <c r="C127" s="18">
        <f>C128</f>
        <v>6464000</v>
      </c>
      <c r="D127" s="18">
        <f>D128</f>
        <v>1603718</v>
      </c>
      <c r="E127" s="18">
        <f>E128</f>
        <v>1603717.65</v>
      </c>
      <c r="F127" s="18">
        <f>E127-D127</f>
        <v>-0.35000000009313226</v>
      </c>
      <c r="G127" s="19">
        <f>(E127/D127)*100</f>
        <v>99.999978175714176</v>
      </c>
      <c r="H127" s="19">
        <f>(E127/C127)*100</f>
        <v>24.809988397277227</v>
      </c>
    </row>
    <row r="128" spans="1:8" x14ac:dyDescent="0.25">
      <c r="A128" s="26" t="s">
        <v>6</v>
      </c>
      <c r="B128" s="23">
        <v>1619000</v>
      </c>
      <c r="C128" s="23">
        <v>6464000</v>
      </c>
      <c r="D128" s="23">
        <v>1603718</v>
      </c>
      <c r="E128" s="23">
        <v>1603717.65</v>
      </c>
      <c r="F128" s="23">
        <f>E128-D128</f>
        <v>-0.35000000009313226</v>
      </c>
      <c r="G128" s="24">
        <f>(E128/D128)*100</f>
        <v>99.999978175714176</v>
      </c>
      <c r="H128" s="24">
        <f>(E128/C128)*100</f>
        <v>24.809988397277227</v>
      </c>
    </row>
    <row r="129" spans="1:8" s="16" customFormat="1" ht="28.5" x14ac:dyDescent="0.25">
      <c r="A129" s="25" t="s">
        <v>36</v>
      </c>
      <c r="B129" s="14">
        <f>SUM(B130:B131)</f>
        <v>55344300</v>
      </c>
      <c r="C129" s="14">
        <f>SUM(C130:C131)</f>
        <v>84889224</v>
      </c>
      <c r="D129" s="14">
        <f>SUM(D130:D131)</f>
        <v>69994051</v>
      </c>
      <c r="E129" s="14">
        <f>SUM(E130:E131)</f>
        <v>47198117.840000004</v>
      </c>
      <c r="F129" s="14">
        <f>E129-D129</f>
        <v>-22795933.159999996</v>
      </c>
      <c r="G129" s="15">
        <f>(E129/D129)*100</f>
        <v>67.431613352397619</v>
      </c>
      <c r="H129" s="15">
        <f>(E129/C129)*100</f>
        <v>55.599657548995864</v>
      </c>
    </row>
    <row r="130" spans="1:8" ht="30" x14ac:dyDescent="0.25">
      <c r="A130" s="22" t="s">
        <v>26</v>
      </c>
      <c r="B130" s="23">
        <v>53314300</v>
      </c>
      <c r="C130" s="23">
        <v>82245498</v>
      </c>
      <c r="D130" s="23">
        <f>30651406+36826694+854800</f>
        <v>68332900</v>
      </c>
      <c r="E130" s="23">
        <f>13980621.83+32151649.82+834366.63</f>
        <v>46966638.280000001</v>
      </c>
      <c r="F130" s="23">
        <f>E130-D130</f>
        <v>-21366261.719999999</v>
      </c>
      <c r="G130" s="24">
        <f>(E130/D130)*100</f>
        <v>68.732101637717705</v>
      </c>
      <c r="H130" s="24">
        <f>(E130/C130)*100</f>
        <v>57.1054214785106</v>
      </c>
    </row>
    <row r="131" spans="1:8" ht="30" x14ac:dyDescent="0.25">
      <c r="A131" s="22" t="s">
        <v>24</v>
      </c>
      <c r="B131" s="23">
        <v>2030000</v>
      </c>
      <c r="C131" s="23">
        <v>2643726</v>
      </c>
      <c r="D131" s="23">
        <f>273865+1387286</f>
        <v>1661151</v>
      </c>
      <c r="E131" s="23">
        <v>231479.56</v>
      </c>
      <c r="F131" s="23">
        <f>E131-D131</f>
        <v>-1429671.44</v>
      </c>
      <c r="G131" s="24">
        <f>(E131/D131)*100</f>
        <v>13.934889724052779</v>
      </c>
      <c r="H131" s="24">
        <f>(E131/C131)*100</f>
        <v>8.7558075231699508</v>
      </c>
    </row>
    <row r="132" spans="1:8" s="16" customFormat="1" ht="42.75" x14ac:dyDescent="0.25">
      <c r="A132" s="25" t="s">
        <v>37</v>
      </c>
      <c r="B132" s="14">
        <f>B133</f>
        <v>553400</v>
      </c>
      <c r="C132" s="14">
        <f>C133</f>
        <v>553150</v>
      </c>
      <c r="D132" s="14">
        <f>D133</f>
        <v>433150</v>
      </c>
      <c r="E132" s="14">
        <f>E133</f>
        <v>389553.6</v>
      </c>
      <c r="F132" s="14">
        <f>E132-D132</f>
        <v>-43596.400000000023</v>
      </c>
      <c r="G132" s="15">
        <f>(E132/D132)*100</f>
        <v>89.935034052868517</v>
      </c>
      <c r="H132" s="15">
        <f>(E132/C132)*100</f>
        <v>70.424586459369067</v>
      </c>
    </row>
    <row r="133" spans="1:8" s="20" customFormat="1" ht="45" x14ac:dyDescent="0.25">
      <c r="A133" s="28" t="s">
        <v>54</v>
      </c>
      <c r="B133" s="18">
        <f>SUM(B134:B136)</f>
        <v>553400</v>
      </c>
      <c r="C133" s="18">
        <f>SUM(C134:C136)</f>
        <v>553150</v>
      </c>
      <c r="D133" s="18">
        <f>SUM(D134:D136)</f>
        <v>433150</v>
      </c>
      <c r="E133" s="18">
        <f>SUM(E134:E136)</f>
        <v>389553.6</v>
      </c>
      <c r="F133" s="18">
        <f>E133-D133</f>
        <v>-43596.400000000023</v>
      </c>
      <c r="G133" s="19">
        <f>(E133/D133)*100</f>
        <v>89.935034052868517</v>
      </c>
      <c r="H133" s="19">
        <f>(E133/C133)*100</f>
        <v>70.424586459369067</v>
      </c>
    </row>
    <row r="134" spans="1:8" x14ac:dyDescent="0.25">
      <c r="A134" s="26" t="s">
        <v>18</v>
      </c>
      <c r="B134" s="23">
        <v>104500</v>
      </c>
      <c r="C134" s="23">
        <v>104500</v>
      </c>
      <c r="D134" s="23">
        <v>104500</v>
      </c>
      <c r="E134" s="23">
        <v>104494</v>
      </c>
      <c r="F134" s="23">
        <f>E134-D134</f>
        <v>-6</v>
      </c>
      <c r="G134" s="24">
        <f>(E134/D134)*100</f>
        <v>99.994258373205753</v>
      </c>
      <c r="H134" s="24">
        <f>(E134/C134)*100</f>
        <v>99.994258373205753</v>
      </c>
    </row>
    <row r="135" spans="1:8" ht="30" x14ac:dyDescent="0.25">
      <c r="A135" s="26" t="s">
        <v>22</v>
      </c>
      <c r="B135" s="23">
        <v>360000</v>
      </c>
      <c r="C135" s="23">
        <v>360000</v>
      </c>
      <c r="D135" s="23">
        <f>120000+70000+50000</f>
        <v>240000</v>
      </c>
      <c r="E135" s="23">
        <f>120000+59999.6+16610</f>
        <v>196609.6</v>
      </c>
      <c r="F135" s="23">
        <f>E135-D135</f>
        <v>-43390.399999999994</v>
      </c>
      <c r="G135" s="24">
        <f>(E135/D135)*100</f>
        <v>81.920666666666662</v>
      </c>
      <c r="H135" s="24">
        <f>(E135/C135)*100</f>
        <v>54.613777777777784</v>
      </c>
    </row>
    <row r="136" spans="1:8" x14ac:dyDescent="0.25">
      <c r="A136" s="27" t="s">
        <v>25</v>
      </c>
      <c r="B136" s="23">
        <v>88900</v>
      </c>
      <c r="C136" s="23">
        <v>88650</v>
      </c>
      <c r="D136" s="23">
        <v>88650</v>
      </c>
      <c r="E136" s="23">
        <v>88450</v>
      </c>
      <c r="F136" s="23">
        <f>E136-D136</f>
        <v>-200</v>
      </c>
      <c r="G136" s="24">
        <f>(E136/D136)*100</f>
        <v>99.774393683023121</v>
      </c>
      <c r="H136" s="24">
        <f>(E136/C136)*100</f>
        <v>99.774393683023121</v>
      </c>
    </row>
    <row r="137" spans="1:8" s="16" customFormat="1" ht="28.5" x14ac:dyDescent="0.25">
      <c r="A137" s="31" t="s">
        <v>65</v>
      </c>
      <c r="B137" s="14">
        <f>SUM(B138:B140)</f>
        <v>1500000</v>
      </c>
      <c r="C137" s="14">
        <f>SUM(C138:C140)</f>
        <v>10007155</v>
      </c>
      <c r="D137" s="14">
        <f>SUM(D138:D140)</f>
        <v>8837001</v>
      </c>
      <c r="E137" s="14">
        <f>SUM(E138:E140)</f>
        <v>4352715.2</v>
      </c>
      <c r="F137" s="14">
        <f>E137-D137</f>
        <v>-4484285.8</v>
      </c>
      <c r="G137" s="15">
        <f>(E137/D137)*100</f>
        <v>49.255569847734542</v>
      </c>
      <c r="H137" s="15">
        <f>(E137/C137)*100</f>
        <v>43.496030590112781</v>
      </c>
    </row>
    <row r="138" spans="1:8" ht="30" x14ac:dyDescent="0.25">
      <c r="A138" s="26" t="s">
        <v>22</v>
      </c>
      <c r="B138" s="23">
        <v>500000</v>
      </c>
      <c r="C138" s="23">
        <v>4034804</v>
      </c>
      <c r="D138" s="23">
        <f>20000+2849650</f>
        <v>2869650</v>
      </c>
      <c r="E138" s="23">
        <f>16000+2695973.2</f>
        <v>2711973.2</v>
      </c>
      <c r="F138" s="23">
        <f>E138-D138</f>
        <v>-157676.79999999981</v>
      </c>
      <c r="G138" s="24">
        <f>(E138/D138)*100</f>
        <v>94.505364765737994</v>
      </c>
      <c r="H138" s="24">
        <f>(E138/C138)*100</f>
        <v>67.214496664521988</v>
      </c>
    </row>
    <row r="139" spans="1:8" x14ac:dyDescent="0.25">
      <c r="A139" s="27" t="s">
        <v>25</v>
      </c>
      <c r="B139" s="23">
        <v>500000</v>
      </c>
      <c r="C139" s="23">
        <v>4872351</v>
      </c>
      <c r="D139" s="23">
        <f>111600+4755751</f>
        <v>4867351</v>
      </c>
      <c r="E139" s="23">
        <f>87260+473482</f>
        <v>560742</v>
      </c>
      <c r="F139" s="23">
        <f>E139-D139</f>
        <v>-4306609</v>
      </c>
      <c r="G139" s="24">
        <f>(E139/D139)*100</f>
        <v>11.520475922118623</v>
      </c>
      <c r="H139" s="24">
        <f>(E139/C139)*100</f>
        <v>11.508653625323792</v>
      </c>
    </row>
    <row r="140" spans="1:8" ht="30" x14ac:dyDescent="0.25">
      <c r="A140" s="22" t="s">
        <v>4</v>
      </c>
      <c r="B140" s="23">
        <v>500000</v>
      </c>
      <c r="C140" s="23">
        <v>1100000</v>
      </c>
      <c r="D140" s="23">
        <f>20000+480000+600000</f>
        <v>1100000</v>
      </c>
      <c r="E140" s="23">
        <f>480000+600000</f>
        <v>1080000</v>
      </c>
      <c r="F140" s="23">
        <f>E140-D140</f>
        <v>-20000</v>
      </c>
      <c r="G140" s="24">
        <f>(E140/D140)*100</f>
        <v>98.181818181818187</v>
      </c>
      <c r="H140" s="24">
        <f>(E140/C140)*100</f>
        <v>98.181818181818187</v>
      </c>
    </row>
    <row r="141" spans="1:8" s="16" customFormat="1" ht="42.75" x14ac:dyDescent="0.25">
      <c r="A141" s="13" t="s">
        <v>38</v>
      </c>
      <c r="B141" s="14">
        <f>SUM(B142:B143)</f>
        <v>4414200</v>
      </c>
      <c r="C141" s="14">
        <f>SUM(C142:C143)</f>
        <v>4608140</v>
      </c>
      <c r="D141" s="14">
        <f>SUM(D142:D143)</f>
        <v>4422829</v>
      </c>
      <c r="E141" s="14">
        <f>SUM(E142:E143)</f>
        <v>4060953.3899999997</v>
      </c>
      <c r="F141" s="14">
        <f>E141-D141</f>
        <v>-361875.61000000034</v>
      </c>
      <c r="G141" s="15">
        <f>(E141/D141)*100</f>
        <v>91.818005851006205</v>
      </c>
      <c r="H141" s="15">
        <f>(E141/C141)*100</f>
        <v>88.125651347398289</v>
      </c>
    </row>
    <row r="142" spans="1:8" x14ac:dyDescent="0.25">
      <c r="A142" s="22" t="s">
        <v>18</v>
      </c>
      <c r="B142" s="23">
        <v>2950000</v>
      </c>
      <c r="C142" s="23">
        <v>3143940</v>
      </c>
      <c r="D142" s="23">
        <f>2950000+193940</f>
        <v>3143940</v>
      </c>
      <c r="E142" s="23">
        <f>2950000</f>
        <v>2950000</v>
      </c>
      <c r="F142" s="23">
        <f>E142-D142</f>
        <v>-193940</v>
      </c>
      <c r="G142" s="24">
        <f>(E142/D142)*100</f>
        <v>93.831307213241985</v>
      </c>
      <c r="H142" s="24">
        <f>(E142/C142)*100</f>
        <v>93.831307213241985</v>
      </c>
    </row>
    <row r="143" spans="1:8" ht="30" x14ac:dyDescent="0.25">
      <c r="A143" s="22" t="s">
        <v>22</v>
      </c>
      <c r="B143" s="23">
        <v>1464200</v>
      </c>
      <c r="C143" s="23">
        <v>1464200</v>
      </c>
      <c r="D143" s="23">
        <v>1278889</v>
      </c>
      <c r="E143" s="23">
        <v>1110953.3899999999</v>
      </c>
      <c r="F143" s="23">
        <f>E143-D143</f>
        <v>-167935.6100000001</v>
      </c>
      <c r="G143" s="24">
        <f>(E143/D143)*100</f>
        <v>86.868632852421115</v>
      </c>
      <c r="H143" s="24">
        <f>(E143/C143)*100</f>
        <v>75.874429039748662</v>
      </c>
    </row>
    <row r="144" spans="1:8" s="16" customFormat="1" x14ac:dyDescent="0.25">
      <c r="A144" s="32" t="s">
        <v>16</v>
      </c>
      <c r="B144" s="33">
        <f>B5+B28+B36+B43+B52+B65+B88+B95+B106+B116+B124+B129+B132+B141+B21+B137</f>
        <v>9889035970</v>
      </c>
      <c r="C144" s="14">
        <f>C5+C28+C36+C43+C52+C65+C88+C95+C106+C116+C124+C129+C132+C141+C21+C137</f>
        <v>11455086658.23</v>
      </c>
      <c r="D144" s="14">
        <f>D5+D28+D36+D43+D52+D65+D88+D95+D106+D116+D124+D129+D132+D141+D21+D137</f>
        <v>6818915269.0900002</v>
      </c>
      <c r="E144" s="14">
        <f>E5+E28+E36+E43+E52+E65+E88+E95+E106+E116+E124+E129+E132+E141+E21+E137</f>
        <v>5325050034.0100012</v>
      </c>
      <c r="F144" s="14">
        <f>E144-D144</f>
        <v>-1493865235.079999</v>
      </c>
      <c r="G144" s="15">
        <f>(E144/D144)*100</f>
        <v>78.092333221213963</v>
      </c>
      <c r="H144" s="15">
        <f>(E144/C144)*100</f>
        <v>46.486335659313198</v>
      </c>
    </row>
    <row r="146" spans="2:8" x14ac:dyDescent="0.25">
      <c r="B146" s="34"/>
      <c r="C146" s="35"/>
      <c r="D146" s="35"/>
      <c r="E146" s="35"/>
      <c r="F146" s="34"/>
      <c r="G146" s="36"/>
      <c r="H146" s="37"/>
    </row>
    <row r="147" spans="2:8" x14ac:dyDescent="0.25">
      <c r="C147" s="38"/>
    </row>
    <row r="148" spans="2:8" x14ac:dyDescent="0.25">
      <c r="D148" s="35"/>
      <c r="E148" s="35"/>
      <c r="G148" s="36"/>
    </row>
  </sheetData>
  <autoFilter ref="A4:H144"/>
  <mergeCells count="1">
    <mergeCell ref="A1:G1"/>
  </mergeCells>
  <pageMargins left="0.51181102362204722" right="0.51181102362204722" top="0.74803149606299213" bottom="0.39370078740157483" header="0.31496062992125984" footer="0.31496062992125984"/>
  <pageSetup paperSize="9" scale="70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программы</vt:lpstr>
      <vt:lpstr>Лист2</vt:lpstr>
      <vt:lpstr>Лист3</vt:lpstr>
      <vt:lpstr>программы!Заголовки_для_печати</vt:lpstr>
      <vt:lpstr>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2020-11-09T10:05:12Z</cp:lastPrinted>
  <dcterms:created xsi:type="dcterms:W3CDTF">2014-05-23T06:49:41Z</dcterms:created>
  <dcterms:modified xsi:type="dcterms:W3CDTF">2020-11-11T05:22:23Z</dcterms:modified>
</cp:coreProperties>
</file>