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ноябрь\На сайт (восьмое изменение)\"/>
    </mc:Choice>
  </mc:AlternateContent>
  <bookViews>
    <workbookView xWindow="0" yWindow="0" windowWidth="28770" windowHeight="10560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'!$36:$36,'Приложение №1  '!$40:$40,'Приложение №1  '!$43:$45,'Приложение №1  '!#REF!,'Приложение №1  '!#REF!,'Приложение №1  '!#REF!,'Приложение №1  '!$71:$71,'Приложение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'!$A$1:$B$91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'!$36:$36,'Приложение №1  '!#REF!,'Приложение №1  '!#REF!,'Приложение №1  '!#REF!,'Приложение №1  '!#REF!,'Приложение №1  '!$71:$71,'Приложение №1  '!#REF!,'Приложение №1  '!#REF!</definedName>
    <definedName name="Z_D98D50BE_849C_46DA_8784_1BBDD0B23E96_.wvu.PrintArea" localSheetId="0" hidden="1">'Приложение №1  '!$A$1:$B$91</definedName>
    <definedName name="Z_D98D50BE_849C_46DA_8784_1BBDD0B23E96_.wvu.Rows" localSheetId="0" hidden="1">'Приложение №1  '!#REF!,'Приложение №1  '!#REF!,'Приложение №1  '!$36:$36,'Приложение №1  '!$40:$40,'Приложение №1  '!$43:$45,'Приложение №1  '!#REF!,'Приложение №1  '!#REF!,'Приложение №1  '!#REF!,'Приложение №1  '!$71:$71,'Приложение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2" l="1"/>
  <c r="D66" i="2"/>
  <c r="D62" i="2"/>
  <c r="D63" i="2"/>
  <c r="D64" i="2"/>
  <c r="D57" i="2"/>
  <c r="D58" i="2"/>
  <c r="D59" i="2"/>
  <c r="D60" i="2"/>
  <c r="D53" i="2"/>
  <c r="D54" i="2"/>
  <c r="D55" i="2"/>
  <c r="D83" i="2"/>
  <c r="D81" i="2"/>
  <c r="F73" i="2"/>
  <c r="F82" i="2"/>
  <c r="F78" i="2"/>
  <c r="F77" i="2"/>
  <c r="F76" i="2"/>
  <c r="F75" i="2"/>
  <c r="F50" i="2"/>
  <c r="F72" i="2"/>
  <c r="F71" i="2"/>
  <c r="F70" i="2"/>
  <c r="F69" i="2"/>
  <c r="F68" i="2"/>
  <c r="F67" i="2"/>
  <c r="F66" i="2"/>
  <c r="F65" i="2"/>
  <c r="F63" i="2"/>
  <c r="F61" i="2"/>
  <c r="F56" i="2"/>
  <c r="F54" i="2"/>
  <c r="F49" i="2"/>
  <c r="F48" i="2"/>
  <c r="F46" i="2" s="1"/>
  <c r="F47" i="2"/>
  <c r="F45" i="2"/>
  <c r="F44" i="2"/>
  <c r="F43" i="2" s="1"/>
  <c r="F41" i="2"/>
  <c r="F40" i="2"/>
  <c r="F39" i="2"/>
  <c r="F34" i="2"/>
  <c r="F33" i="2"/>
  <c r="F32" i="2" s="1"/>
  <c r="F30" i="2"/>
  <c r="F28" i="2" s="1"/>
  <c r="F25" i="2"/>
  <c r="F22" i="2" s="1"/>
  <c r="F21" i="2"/>
  <c r="F20" i="2"/>
  <c r="F19" i="2"/>
  <c r="F15" i="2"/>
  <c r="F14" i="2"/>
  <c r="F9" i="2"/>
  <c r="F8" i="2" s="1"/>
  <c r="F7" i="2"/>
  <c r="C83" i="2" l="1"/>
  <c r="C82" i="2"/>
  <c r="C79" i="2"/>
  <c r="C78" i="2"/>
  <c r="C77" i="2"/>
  <c r="C74" i="2" s="1"/>
  <c r="C73" i="2" s="1"/>
  <c r="C76" i="2"/>
  <c r="C75" i="2"/>
  <c r="C71" i="2"/>
  <c r="C70" i="2"/>
  <c r="C50" i="2"/>
  <c r="C49" i="2"/>
  <c r="C46" i="2" s="1"/>
  <c r="C48" i="2"/>
  <c r="C47" i="2"/>
  <c r="C45" i="2"/>
  <c r="C43" i="2" s="1"/>
  <c r="C44" i="2"/>
  <c r="C41" i="2"/>
  <c r="C40" i="2"/>
  <c r="C39" i="2"/>
  <c r="C34" i="2"/>
  <c r="C33" i="2"/>
  <c r="C32" i="2"/>
  <c r="C30" i="2"/>
  <c r="C28" i="2"/>
  <c r="C22" i="2"/>
  <c r="C21" i="2"/>
  <c r="C19" i="2"/>
  <c r="C15" i="2"/>
  <c r="C14" i="2"/>
  <c r="C6" i="2" s="1"/>
  <c r="C8" i="2"/>
  <c r="C7" i="2"/>
  <c r="C31" i="2" l="1"/>
  <c r="C5" i="2"/>
  <c r="C84" i="2" s="1"/>
  <c r="F83" i="2"/>
  <c r="F79" i="2"/>
  <c r="F74" i="2"/>
  <c r="F6" i="2"/>
  <c r="F31" i="2" l="1"/>
  <c r="F5" i="2" s="1"/>
  <c r="F84" i="2" s="1"/>
  <c r="D73" i="2" l="1"/>
  <c r="D82" i="2"/>
  <c r="D74" i="2"/>
  <c r="D51" i="2"/>
  <c r="D52" i="2"/>
  <c r="D56" i="2"/>
  <c r="D61" i="2"/>
  <c r="D65" i="2"/>
  <c r="D67" i="2"/>
  <c r="D68" i="2"/>
  <c r="D69" i="2"/>
  <c r="D70" i="2"/>
  <c r="D71" i="2"/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2" i="2"/>
  <c r="E33" i="2"/>
  <c r="E34" i="2"/>
  <c r="E35" i="2"/>
  <c r="E36" i="2"/>
  <c r="E37" i="2"/>
  <c r="E38" i="2"/>
  <c r="E39" i="2"/>
  <c r="E40" i="2"/>
  <c r="E41" i="2"/>
  <c r="E42" i="2"/>
  <c r="E44" i="2"/>
  <c r="E45" i="2"/>
  <c r="E46" i="2"/>
  <c r="E47" i="2"/>
  <c r="E48" i="2"/>
  <c r="E49" i="2"/>
  <c r="E50" i="2"/>
  <c r="E62" i="2"/>
  <c r="E67" i="2"/>
  <c r="E69" i="2"/>
  <c r="E70" i="2"/>
  <c r="E71" i="2"/>
  <c r="E73" i="2"/>
  <c r="E74" i="2"/>
  <c r="E75" i="2"/>
  <c r="E76" i="2"/>
  <c r="E77" i="2"/>
  <c r="E78" i="2"/>
  <c r="E79" i="2"/>
  <c r="E80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2" i="2"/>
  <c r="D33" i="2"/>
  <c r="D34" i="2"/>
  <c r="D35" i="2"/>
  <c r="D36" i="2"/>
  <c r="D37" i="2"/>
  <c r="D38" i="2"/>
  <c r="D39" i="2"/>
  <c r="D40" i="2"/>
  <c r="D41" i="2"/>
  <c r="D42" i="2"/>
  <c r="D44" i="2"/>
  <c r="D45" i="2"/>
  <c r="D46" i="2"/>
  <c r="D47" i="2"/>
  <c r="D48" i="2"/>
  <c r="D49" i="2"/>
  <c r="D50" i="2"/>
  <c r="D75" i="2"/>
  <c r="D76" i="2"/>
  <c r="D77" i="2"/>
  <c r="D78" i="2"/>
  <c r="D79" i="2"/>
  <c r="D80" i="2"/>
  <c r="E43" i="2"/>
  <c r="D43" i="2" l="1"/>
  <c r="E31" i="2"/>
  <c r="D31" i="2"/>
  <c r="D5" i="2" l="1"/>
  <c r="E5" i="2"/>
  <c r="E84" i="2" l="1"/>
  <c r="D84" i="2"/>
</calcChain>
</file>

<file path=xl/sharedStrings.xml><?xml version="1.0" encoding="utf-8"?>
<sst xmlns="http://schemas.openxmlformats.org/spreadsheetml/2006/main" count="163" uniqueCount="163">
  <si>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</si>
  <si>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</si>
  <si>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</si>
  <si>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</si>
  <si>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</si>
  <si>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</si>
  <si>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</si>
  <si>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</si>
  <si>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</si>
  <si>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</si>
  <si>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</si>
  <si>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</si>
  <si>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</si>
  <si>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</si>
  <si>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</si>
  <si>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</si>
  <si>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</si>
  <si>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</si>
  <si>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</si>
  <si>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</si>
  <si>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</si>
  <si>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</si>
  <si>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</si>
  <si>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</si>
  <si>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</si>
  <si>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</si>
  <si>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</si>
  <si>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</si>
  <si>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</si>
  <si>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</si>
  <si>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</si>
  <si>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</si>
  <si>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</si>
  <si>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</si>
  <si>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</si>
  <si>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</si>
  <si>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</si>
  <si>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</si>
  <si>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</si>
  <si>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</si>
  <si>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</si>
  <si>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</si>
  <si>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</si>
  <si>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</si>
  <si>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</si>
  <si>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</si>
  <si>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</si>
  <si>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</si>
  <si>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</si>
  <si>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</si>
  <si>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</si>
  <si>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</si>
  <si>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</si>
  <si>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</si>
  <si>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</si>
  <si>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</si>
  <si>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</si>
  <si>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</si>
  <si>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</si>
  <si>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</si>
  <si>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</si>
  <si>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</si>
  <si>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</si>
  <si>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</si>
  <si>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</si>
  <si>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</si>
  <si>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</si>
  <si>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</si>
  <si>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</si>
  <si>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</si>
  <si>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</si>
  <si>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</si>
  <si>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</si>
  <si>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</si>
  <si>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</si>
  <si>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</si>
  <si>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</si>
  <si>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</si>
  <si>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</si>
  <si>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</si>
  <si>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</si>
  <si>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</si>
  <si>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</si>
  <si>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</si>
  <si>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</si>
  <si>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</si>
  <si>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</si>
  <si>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</si>
  <si>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</si>
  <si>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</si>
  <si>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</si>
  <si>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</si>
  <si>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</si>
  <si>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</si>
  <si>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</si>
  <si>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</si>
  <si>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</si>
  <si>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</si>
  <si>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</si>
  <si>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</si>
  <si>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</si>
  <si>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</si>
  <si>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</si>
  <si>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</si>
  <si>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</si>
  <si>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</si>
  <si>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Уточнённый бюджет на 2020 год, в рублях</t>
  </si>
  <si>
    <t>Уточнённый бюджет на 2020 год с учётом поправок, в рублях</t>
  </si>
  <si>
    <t>000 1 06 04000 02 0000 110</t>
  </si>
  <si>
    <t>Транспортный налог</t>
  </si>
  <si>
    <t>000 1 14 02000 00 0000 000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</si>
  <si>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</si>
  <si>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</si>
  <si>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</si>
  <si>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</si>
  <si>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</si>
  <si>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</si>
  <si>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</si>
  <si>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</si>
  <si>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</si>
  <si>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</si>
  <si>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</si>
  <si>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</si>
  <si>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</si>
  <si>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</si>
  <si>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</si>
  <si>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</si>
  <si>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</si>
  <si>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</si>
  <si>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</si>
  <si>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</si>
  <si>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</si>
  <si>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</si>
  <si>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</si>
  <si>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</si>
  <si>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</si>
  <si>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</si>
  <si>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</si>
  <si>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</si>
  <si>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</si>
  <si>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</si>
  <si>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</si>
  <si>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</si>
  <si>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</si>
  <si>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</si>
  <si>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</si>
  <si>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</si>
  <si>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</si>
  <si>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</si>
  <si>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</si>
  <si>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</si>
  <si>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</si>
  <si>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</si>
  <si>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</si>
  <si>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</si>
  <si>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</si>
  <si>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</si>
  <si>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</si>
  <si>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</si>
  <si>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</si>
  <si>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</si>
  <si>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000 2 07 04050 04 0000 150</t>
  </si>
  <si>
    <t>Прочие безвозмездные поступления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</si>
</sst>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"/>
  <sheetViews>
    <sheetView tabSelected="1" zoomScale="75" zoomScaleNormal="75" zoomScaleSheetLayoutView="75" workbookViewId="0">
      <selection activeCell="E9" sqref="E9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4" width="20.140625" style="3" customWidth="1"/>
    <col min="5" max="5" width="15.7109375" style="3" customWidth="1"/>
    <col min="6" max="6" width="22.7109375" style="3" customWidth="1"/>
    <col min="7" max="16384" width="9.140625" style="3"/>
  </cols>
  <sheetData>
    <row r="1" spans="1:6" x14ac:dyDescent="0.3">
      <c r="A1" s="37"/>
      <c r="B1" s="39"/>
      <c r="C1" s="38"/>
    </row>
    <row r="2" spans="1:6" x14ac:dyDescent="0.3">
      <c r="A2" s="37"/>
      <c r="B2" s="39"/>
      <c r="C2" s="38"/>
    </row>
    <row r="3" spans="1:6" ht="93.75" customHeight="1" x14ac:dyDescent="0.3">
      <c r="A3" s="5" t="s">
        <v>0</v>
      </c>
      <c r="B3" s="6" t="s">
        <v>1</v>
      </c>
      <c r="C3" s="35" t="s">
        <v>106</v>
      </c>
      <c r="D3" s="33" t="s">
        <v>104</v>
      </c>
      <c r="E3" s="34" t="s">
        <v>105</v>
      </c>
      <c r="F3" s="35" t="s">
        <v>107</v>
      </c>
    </row>
    <row r="4" spans="1:6" ht="20.25" x14ac:dyDescent="0.3">
      <c r="A4" s="5">
        <v>1</v>
      </c>
      <c r="B4" s="6">
        <v>2</v>
      </c>
      <c r="C4" s="7">
        <v>3</v>
      </c>
      <c r="D4" s="36">
        <v>4</v>
      </c>
      <c r="E4" s="36">
        <v>5</v>
      </c>
      <c r="F4" s="36">
        <v>6</v>
      </c>
    </row>
    <row r="5" spans="1:6" s="11" customFormat="1" ht="16.5" customHeight="1" x14ac:dyDescent="0.3">
      <c r="A5" s="8" t="s">
        <v>2</v>
      </c>
      <c r="B5" s="9" t="s">
        <v>3</v>
      </c>
      <c r="C5" s="43">
        <f>C6+C31</f>
        <v>3016102871</v>
      </c>
      <c r="D5" s="10">
        <f>F5-C5</f>
        <v>85669716</v>
      </c>
      <c r="E5" s="10">
        <f>(F5/C5)*100-100</f>
        <v>2.8404109429992985</v>
      </c>
      <c r="F5" s="43">
        <f>F6+F31</f>
        <v>3101772587</v>
      </c>
    </row>
    <row r="6" spans="1:6" s="11" customFormat="1" ht="21" customHeight="1" x14ac:dyDescent="0.3">
      <c r="A6" s="8"/>
      <c r="B6" s="12" t="s">
        <v>4</v>
      </c>
      <c r="C6" s="43">
        <f>C7+C14+C22+C28+C8</f>
        <v>2589317900</v>
      </c>
      <c r="D6" s="10">
        <f t="shared" ref="D6:D84" si="0">F6-C6</f>
        <v>72318400</v>
      </c>
      <c r="E6" s="10">
        <f t="shared" ref="E6:E84" si="1">(F6/C6)*100-100</f>
        <v>2.7929517654050784</v>
      </c>
      <c r="F6" s="43">
        <f>F7+F14+F22+F28+F8</f>
        <v>2661636300</v>
      </c>
    </row>
    <row r="7" spans="1:6" ht="22.5" customHeight="1" x14ac:dyDescent="0.3">
      <c r="A7" s="13" t="s">
        <v>5</v>
      </c>
      <c r="B7" s="14" t="s">
        <v>6</v>
      </c>
      <c r="C7" s="44">
        <f>1962962000</f>
        <v>1962962000</v>
      </c>
      <c r="D7" s="15">
        <f t="shared" si="0"/>
        <v>0</v>
      </c>
      <c r="E7" s="15">
        <f t="shared" si="1"/>
        <v>0</v>
      </c>
      <c r="F7" s="44">
        <f>1962962000</f>
        <v>1962962000</v>
      </c>
    </row>
    <row r="8" spans="1:6" x14ac:dyDescent="0.3">
      <c r="A8" s="16" t="s">
        <v>7</v>
      </c>
      <c r="B8" s="14" t="s">
        <v>8</v>
      </c>
      <c r="C8" s="44">
        <f>C9</f>
        <v>8192400</v>
      </c>
      <c r="D8" s="15">
        <f t="shared" si="0"/>
        <v>-500000</v>
      </c>
      <c r="E8" s="15">
        <f t="shared" si="1"/>
        <v>-6.1032176163273277</v>
      </c>
      <c r="F8" s="44">
        <f>F9</f>
        <v>7692400</v>
      </c>
    </row>
    <row r="9" spans="1:6" ht="23.25" customHeight="1" x14ac:dyDescent="0.3">
      <c r="A9" s="16" t="s">
        <v>9</v>
      </c>
      <c r="B9" s="17" t="s">
        <v>10</v>
      </c>
      <c r="C9" s="44">
        <v>8192400</v>
      </c>
      <c r="D9" s="15">
        <f t="shared" si="0"/>
        <v>-500000</v>
      </c>
      <c r="E9" s="15">
        <f t="shared" si="1"/>
        <v>-6.1032176163273277</v>
      </c>
      <c r="F9" s="44">
        <f>8192400-500000</f>
        <v>7692400</v>
      </c>
    </row>
    <row r="10" spans="1:6" ht="56.25" hidden="1" customHeight="1" x14ac:dyDescent="0.3">
      <c r="A10" s="18" t="s">
        <v>11</v>
      </c>
      <c r="B10" s="19" t="s">
        <v>12</v>
      </c>
      <c r="C10" s="44">
        <v>2539100</v>
      </c>
      <c r="D10" s="15">
        <f t="shared" si="0"/>
        <v>0</v>
      </c>
      <c r="E10" s="15">
        <f t="shared" si="1"/>
        <v>0</v>
      </c>
      <c r="F10" s="44">
        <v>2539100</v>
      </c>
    </row>
    <row r="11" spans="1:6" ht="59.25" hidden="1" customHeight="1" x14ac:dyDescent="0.3">
      <c r="A11" s="18" t="s">
        <v>13</v>
      </c>
      <c r="B11" s="19" t="s">
        <v>14</v>
      </c>
      <c r="C11" s="44">
        <v>23800</v>
      </c>
      <c r="D11" s="15">
        <f t="shared" si="0"/>
        <v>0</v>
      </c>
      <c r="E11" s="15">
        <f t="shared" si="1"/>
        <v>0</v>
      </c>
      <c r="F11" s="44">
        <v>23800</v>
      </c>
    </row>
    <row r="12" spans="1:6" ht="56.25" hidden="1" customHeight="1" x14ac:dyDescent="0.3">
      <c r="A12" s="18" t="s">
        <v>15</v>
      </c>
      <c r="B12" s="19" t="s">
        <v>16</v>
      </c>
      <c r="C12" s="44">
        <v>4294100</v>
      </c>
      <c r="D12" s="15">
        <f t="shared" si="0"/>
        <v>0</v>
      </c>
      <c r="E12" s="15">
        <f t="shared" si="1"/>
        <v>0</v>
      </c>
      <c r="F12" s="44">
        <v>4294100</v>
      </c>
    </row>
    <row r="13" spans="1:6" ht="56.25" hidden="1" customHeight="1" x14ac:dyDescent="0.3">
      <c r="A13" s="16" t="s">
        <v>17</v>
      </c>
      <c r="B13" s="17" t="s">
        <v>18</v>
      </c>
      <c r="C13" s="44"/>
      <c r="D13" s="15">
        <f t="shared" si="0"/>
        <v>0</v>
      </c>
      <c r="E13" s="15" t="e">
        <f t="shared" si="1"/>
        <v>#DIV/0!</v>
      </c>
      <c r="F13" s="44"/>
    </row>
    <row r="14" spans="1:6" x14ac:dyDescent="0.3">
      <c r="A14" s="13" t="s">
        <v>19</v>
      </c>
      <c r="B14" s="14" t="s">
        <v>20</v>
      </c>
      <c r="C14" s="44">
        <f>C19+C20+C21+C15</f>
        <v>431960800</v>
      </c>
      <c r="D14" s="15">
        <f t="shared" si="0"/>
        <v>75808400</v>
      </c>
      <c r="E14" s="15">
        <f t="shared" si="1"/>
        <v>17.5498332256075</v>
      </c>
      <c r="F14" s="44">
        <f>F19+F20+F21+F15</f>
        <v>507769200</v>
      </c>
    </row>
    <row r="15" spans="1:6" x14ac:dyDescent="0.3">
      <c r="A15" s="13" t="s">
        <v>21</v>
      </c>
      <c r="B15" s="20" t="s">
        <v>22</v>
      </c>
      <c r="C15" s="44">
        <f>353600000+230000</f>
        <v>353830000</v>
      </c>
      <c r="D15" s="15">
        <f t="shared" si="0"/>
        <v>76170000</v>
      </c>
      <c r="E15" s="15">
        <f t="shared" si="1"/>
        <v>21.527287115281354</v>
      </c>
      <c r="F15" s="44">
        <f>353830000+76170000</f>
        <v>430000000</v>
      </c>
    </row>
    <row r="16" spans="1:6" ht="20.25" hidden="1" customHeight="1" x14ac:dyDescent="0.3">
      <c r="A16" s="13" t="s">
        <v>23</v>
      </c>
      <c r="B16" s="20" t="s">
        <v>24</v>
      </c>
      <c r="C16" s="44">
        <v>170000000</v>
      </c>
      <c r="D16" s="15">
        <f t="shared" si="0"/>
        <v>0</v>
      </c>
      <c r="E16" s="15">
        <f t="shared" si="1"/>
        <v>0</v>
      </c>
      <c r="F16" s="44">
        <v>170000000</v>
      </c>
    </row>
    <row r="17" spans="1:6" ht="37.5" hidden="1" customHeight="1" x14ac:dyDescent="0.3">
      <c r="A17" s="13" t="s">
        <v>25</v>
      </c>
      <c r="B17" s="20" t="s">
        <v>26</v>
      </c>
      <c r="C17" s="44">
        <v>61200000</v>
      </c>
      <c r="D17" s="15">
        <f t="shared" si="0"/>
        <v>0</v>
      </c>
      <c r="E17" s="15">
        <f t="shared" si="1"/>
        <v>0</v>
      </c>
      <c r="F17" s="44">
        <v>61200000</v>
      </c>
    </row>
    <row r="18" spans="1:6" ht="20.25" hidden="1" customHeight="1" x14ac:dyDescent="0.3">
      <c r="A18" s="13" t="s">
        <v>27</v>
      </c>
      <c r="B18" s="20" t="s">
        <v>28</v>
      </c>
      <c r="C18" s="44">
        <v>0</v>
      </c>
      <c r="D18" s="15">
        <f t="shared" si="0"/>
        <v>0</v>
      </c>
      <c r="E18" s="15" t="e">
        <f t="shared" si="1"/>
        <v>#DIV/0!</v>
      </c>
      <c r="F18" s="44">
        <v>0</v>
      </c>
    </row>
    <row r="19" spans="1:6" x14ac:dyDescent="0.3">
      <c r="A19" s="13" t="s">
        <v>29</v>
      </c>
      <c r="B19" s="20" t="s">
        <v>30</v>
      </c>
      <c r="C19" s="44">
        <f>75887200-20000000</f>
        <v>55887200</v>
      </c>
      <c r="D19" s="15">
        <f t="shared" si="0"/>
        <v>0</v>
      </c>
      <c r="E19" s="15">
        <f t="shared" si="1"/>
        <v>0</v>
      </c>
      <c r="F19" s="44">
        <f>75887200-20000000</f>
        <v>55887200</v>
      </c>
    </row>
    <row r="20" spans="1:6" x14ac:dyDescent="0.3">
      <c r="A20" s="13" t="s">
        <v>31</v>
      </c>
      <c r="B20" s="20" t="s">
        <v>32</v>
      </c>
      <c r="C20" s="44">
        <v>1243600</v>
      </c>
      <c r="D20" s="15">
        <f t="shared" si="0"/>
        <v>-361600</v>
      </c>
      <c r="E20" s="15">
        <f t="shared" si="1"/>
        <v>-29.07687359279511</v>
      </c>
      <c r="F20" s="44">
        <f>1243600-361600</f>
        <v>882000</v>
      </c>
    </row>
    <row r="21" spans="1:6" x14ac:dyDescent="0.3">
      <c r="A21" s="13" t="s">
        <v>33</v>
      </c>
      <c r="B21" s="20" t="s">
        <v>34</v>
      </c>
      <c r="C21" s="44">
        <f>26000000-5000000</f>
        <v>21000000</v>
      </c>
      <c r="D21" s="15">
        <f t="shared" si="0"/>
        <v>0</v>
      </c>
      <c r="E21" s="15">
        <f t="shared" si="1"/>
        <v>0</v>
      </c>
      <c r="F21" s="44">
        <f>26000000-5000000</f>
        <v>21000000</v>
      </c>
    </row>
    <row r="22" spans="1:6" x14ac:dyDescent="0.3">
      <c r="A22" s="13" t="s">
        <v>35</v>
      </c>
      <c r="B22" s="20" t="s">
        <v>36</v>
      </c>
      <c r="C22" s="44">
        <f>C23+C25+C24</f>
        <v>164387700</v>
      </c>
      <c r="D22" s="15">
        <f t="shared" si="0"/>
        <v>-3000000</v>
      </c>
      <c r="E22" s="15">
        <f t="shared" si="1"/>
        <v>-1.8249540567816211</v>
      </c>
      <c r="F22" s="44">
        <f>F23+F25+F24</f>
        <v>161387700</v>
      </c>
    </row>
    <row r="23" spans="1:6" x14ac:dyDescent="0.3">
      <c r="A23" s="13" t="s">
        <v>37</v>
      </c>
      <c r="B23" s="21" t="s">
        <v>38</v>
      </c>
      <c r="C23" s="44">
        <v>51000000</v>
      </c>
      <c r="D23" s="15">
        <f t="shared" si="0"/>
        <v>0</v>
      </c>
      <c r="E23" s="15">
        <f t="shared" si="1"/>
        <v>0</v>
      </c>
      <c r="F23" s="44">
        <v>51000000</v>
      </c>
    </row>
    <row r="24" spans="1:6" x14ac:dyDescent="0.3">
      <c r="A24" s="13" t="s">
        <v>108</v>
      </c>
      <c r="B24" s="21" t="s">
        <v>109</v>
      </c>
      <c r="C24" s="44">
        <v>44943000</v>
      </c>
      <c r="D24" s="15">
        <f t="shared" si="0"/>
        <v>0</v>
      </c>
      <c r="E24" s="15">
        <f t="shared" si="1"/>
        <v>0</v>
      </c>
      <c r="F24" s="44">
        <v>44943000</v>
      </c>
    </row>
    <row r="25" spans="1:6" x14ac:dyDescent="0.3">
      <c r="A25" s="13" t="s">
        <v>39</v>
      </c>
      <c r="B25" s="21" t="s">
        <v>40</v>
      </c>
      <c r="C25" s="44">
        <v>68444700</v>
      </c>
      <c r="D25" s="15">
        <f t="shared" si="0"/>
        <v>-3000000</v>
      </c>
      <c r="E25" s="15">
        <f t="shared" si="1"/>
        <v>-4.3831005176441664</v>
      </c>
      <c r="F25" s="44">
        <f>68444700-3000000</f>
        <v>65444700</v>
      </c>
    </row>
    <row r="26" spans="1:6" ht="37.5" hidden="1" customHeight="1" x14ac:dyDescent="0.3">
      <c r="A26" s="13" t="s">
        <v>41</v>
      </c>
      <c r="B26" s="21" t="s">
        <v>42</v>
      </c>
      <c r="C26" s="44">
        <v>65000000</v>
      </c>
      <c r="D26" s="15">
        <f t="shared" si="0"/>
        <v>0</v>
      </c>
      <c r="E26" s="15">
        <f t="shared" si="1"/>
        <v>0</v>
      </c>
      <c r="F26" s="44">
        <v>65000000</v>
      </c>
    </row>
    <row r="27" spans="1:6" ht="37.5" hidden="1" customHeight="1" x14ac:dyDescent="0.3">
      <c r="A27" s="13" t="s">
        <v>43</v>
      </c>
      <c r="B27" s="21" t="s">
        <v>44</v>
      </c>
      <c r="C27" s="44">
        <v>14700000</v>
      </c>
      <c r="D27" s="15">
        <f t="shared" si="0"/>
        <v>0</v>
      </c>
      <c r="E27" s="15">
        <f t="shared" si="1"/>
        <v>0</v>
      </c>
      <c r="F27" s="44">
        <v>14700000</v>
      </c>
    </row>
    <row r="28" spans="1:6" x14ac:dyDescent="0.3">
      <c r="A28" s="13" t="s">
        <v>45</v>
      </c>
      <c r="B28" s="22" t="s">
        <v>46</v>
      </c>
      <c r="C28" s="44">
        <f>SUM(C29:C30)</f>
        <v>21815000</v>
      </c>
      <c r="D28" s="15">
        <f t="shared" si="0"/>
        <v>10000</v>
      </c>
      <c r="E28" s="15">
        <f t="shared" si="1"/>
        <v>4.584001833600837E-2</v>
      </c>
      <c r="F28" s="44">
        <f>SUM(F29:F30)</f>
        <v>21825000</v>
      </c>
    </row>
    <row r="29" spans="1:6" ht="22.5" customHeight="1" x14ac:dyDescent="0.3">
      <c r="A29" s="23" t="s">
        <v>47</v>
      </c>
      <c r="B29" s="24" t="s">
        <v>48</v>
      </c>
      <c r="C29" s="44">
        <v>21700000</v>
      </c>
      <c r="D29" s="15">
        <f t="shared" si="0"/>
        <v>0</v>
      </c>
      <c r="E29" s="15">
        <f t="shared" si="1"/>
        <v>0</v>
      </c>
      <c r="F29" s="44">
        <v>21700000</v>
      </c>
    </row>
    <row r="30" spans="1:6" ht="37.5" x14ac:dyDescent="0.3">
      <c r="A30" s="25" t="s">
        <v>49</v>
      </c>
      <c r="B30" s="24" t="s">
        <v>50</v>
      </c>
      <c r="C30" s="44">
        <f>115000</f>
        <v>115000</v>
      </c>
      <c r="D30" s="15">
        <f t="shared" si="0"/>
        <v>10000</v>
      </c>
      <c r="E30" s="15">
        <f t="shared" si="1"/>
        <v>8.6956521739130324</v>
      </c>
      <c r="F30" s="44">
        <f>115000+10000</f>
        <v>125000</v>
      </c>
    </row>
    <row r="31" spans="1:6" s="11" customFormat="1" x14ac:dyDescent="0.3">
      <c r="A31" s="26"/>
      <c r="B31" s="27" t="s">
        <v>51</v>
      </c>
      <c r="C31" s="43">
        <f>C32+C41+C43+C46+C50</f>
        <v>426784971</v>
      </c>
      <c r="D31" s="10">
        <f t="shared" si="0"/>
        <v>13351316</v>
      </c>
      <c r="E31" s="10">
        <f t="shared" si="1"/>
        <v>3.1283472725659749</v>
      </c>
      <c r="F31" s="43">
        <f>F32+F41+F43+F46+F50</f>
        <v>440136287</v>
      </c>
    </row>
    <row r="32" spans="1:6" ht="41.25" customHeight="1" x14ac:dyDescent="0.3">
      <c r="A32" s="13" t="s">
        <v>52</v>
      </c>
      <c r="B32" s="20" t="s">
        <v>53</v>
      </c>
      <c r="C32" s="44">
        <f>C33+C34+C39+C40</f>
        <v>355948922</v>
      </c>
      <c r="D32" s="15">
        <f t="shared" si="0"/>
        <v>6870180</v>
      </c>
      <c r="E32" s="15">
        <f t="shared" si="1"/>
        <v>1.930102769070885</v>
      </c>
      <c r="F32" s="44">
        <f>F33+F34+F39+F40</f>
        <v>362819102</v>
      </c>
    </row>
    <row r="33" spans="1:6" ht="59.25" customHeight="1" x14ac:dyDescent="0.3">
      <c r="A33" s="13" t="s">
        <v>54</v>
      </c>
      <c r="B33" s="20" t="s">
        <v>55</v>
      </c>
      <c r="C33" s="44">
        <f>2666900-125490</f>
        <v>2541410</v>
      </c>
      <c r="D33" s="15">
        <f t="shared" si="0"/>
        <v>0</v>
      </c>
      <c r="E33" s="15">
        <f t="shared" si="1"/>
        <v>0</v>
      </c>
      <c r="F33" s="44">
        <f>2666900-125490</f>
        <v>2541410</v>
      </c>
    </row>
    <row r="34" spans="1:6" ht="75" x14ac:dyDescent="0.3">
      <c r="A34" s="13" t="s">
        <v>56</v>
      </c>
      <c r="B34" s="20" t="s">
        <v>57</v>
      </c>
      <c r="C34" s="44">
        <f>300151900+540800+19768+26999100+2413444+14979000+5200000</f>
        <v>350304012</v>
      </c>
      <c r="D34" s="15">
        <f t="shared" si="0"/>
        <v>6473180</v>
      </c>
      <c r="E34" s="15">
        <f t="shared" si="1"/>
        <v>1.847874925280621</v>
      </c>
      <c r="F34" s="44">
        <f>350304012-1520+6474700</f>
        <v>356777192</v>
      </c>
    </row>
    <row r="35" spans="1:6" ht="56.25" hidden="1" customHeight="1" x14ac:dyDescent="0.3">
      <c r="A35" s="13" t="s">
        <v>58</v>
      </c>
      <c r="B35" s="28" t="s">
        <v>59</v>
      </c>
      <c r="C35" s="44"/>
      <c r="D35" s="15">
        <f t="shared" si="0"/>
        <v>0</v>
      </c>
      <c r="E35" s="15" t="e">
        <f t="shared" si="1"/>
        <v>#DIV/0!</v>
      </c>
      <c r="F35" s="44"/>
    </row>
    <row r="36" spans="1:6" ht="56.25" hidden="1" customHeight="1" x14ac:dyDescent="0.3">
      <c r="A36" s="13" t="s">
        <v>60</v>
      </c>
      <c r="B36" s="28" t="s">
        <v>61</v>
      </c>
      <c r="C36" s="44"/>
      <c r="D36" s="15">
        <f t="shared" si="0"/>
        <v>0</v>
      </c>
      <c r="E36" s="15" t="e">
        <f t="shared" si="1"/>
        <v>#DIV/0!</v>
      </c>
      <c r="F36" s="44"/>
    </row>
    <row r="37" spans="1:6" ht="56.25" hidden="1" customHeight="1" x14ac:dyDescent="0.3">
      <c r="A37" s="13" t="s">
        <v>62</v>
      </c>
      <c r="B37" s="20" t="s">
        <v>63</v>
      </c>
      <c r="C37" s="44"/>
      <c r="D37" s="15">
        <f t="shared" si="0"/>
        <v>0</v>
      </c>
      <c r="E37" s="15" t="e">
        <f t="shared" si="1"/>
        <v>#DIV/0!</v>
      </c>
      <c r="F37" s="44"/>
    </row>
    <row r="38" spans="1:6" ht="37.5" hidden="1" customHeight="1" x14ac:dyDescent="0.3">
      <c r="A38" s="13" t="s">
        <v>64</v>
      </c>
      <c r="B38" s="20" t="s">
        <v>65</v>
      </c>
      <c r="C38" s="44"/>
      <c r="D38" s="15">
        <f t="shared" si="0"/>
        <v>0</v>
      </c>
      <c r="E38" s="15" t="e">
        <f t="shared" si="1"/>
        <v>#DIV/0!</v>
      </c>
      <c r="F38" s="44"/>
    </row>
    <row r="39" spans="1:6" ht="21.75" customHeight="1" x14ac:dyDescent="0.3">
      <c r="A39" s="13" t="s">
        <v>66</v>
      </c>
      <c r="B39" s="20" t="s">
        <v>67</v>
      </c>
      <c r="C39" s="44">
        <f>770000-666500</f>
        <v>103500</v>
      </c>
      <c r="D39" s="15">
        <f t="shared" si="0"/>
        <v>-3000</v>
      </c>
      <c r="E39" s="15">
        <f t="shared" si="1"/>
        <v>-2.8985507246376869</v>
      </c>
      <c r="F39" s="44">
        <f>103500-3000</f>
        <v>100500</v>
      </c>
    </row>
    <row r="40" spans="1:6" ht="57.75" customHeight="1" x14ac:dyDescent="0.3">
      <c r="A40" s="13" t="s">
        <v>68</v>
      </c>
      <c r="B40" s="20" t="s">
        <v>69</v>
      </c>
      <c r="C40" s="44">
        <f>3000000</f>
        <v>3000000</v>
      </c>
      <c r="D40" s="15">
        <f t="shared" si="0"/>
        <v>400000</v>
      </c>
      <c r="E40" s="15">
        <f t="shared" si="1"/>
        <v>13.333333333333329</v>
      </c>
      <c r="F40" s="44">
        <f>3000000+400000</f>
        <v>3400000</v>
      </c>
    </row>
    <row r="41" spans="1:6" x14ac:dyDescent="0.3">
      <c r="A41" s="13" t="s">
        <v>70</v>
      </c>
      <c r="B41" s="20" t="s">
        <v>71</v>
      </c>
      <c r="C41" s="44">
        <f>C42</f>
        <v>13821206</v>
      </c>
      <c r="D41" s="15">
        <f t="shared" si="0"/>
        <v>0</v>
      </c>
      <c r="E41" s="15">
        <f t="shared" si="1"/>
        <v>0</v>
      </c>
      <c r="F41" s="44">
        <f>F42</f>
        <v>13821206</v>
      </c>
    </row>
    <row r="42" spans="1:6" x14ac:dyDescent="0.3">
      <c r="A42" s="13" t="s">
        <v>72</v>
      </c>
      <c r="B42" s="20" t="s">
        <v>73</v>
      </c>
      <c r="C42" s="44">
        <v>13821206</v>
      </c>
      <c r="D42" s="15">
        <f t="shared" si="0"/>
        <v>0</v>
      </c>
      <c r="E42" s="15">
        <f t="shared" si="1"/>
        <v>0</v>
      </c>
      <c r="F42" s="44">
        <v>13821206</v>
      </c>
    </row>
    <row r="43" spans="1:6" x14ac:dyDescent="0.3">
      <c r="A43" s="13" t="s">
        <v>74</v>
      </c>
      <c r="B43" s="20" t="s">
        <v>75</v>
      </c>
      <c r="C43" s="44">
        <f>C44+C45</f>
        <v>11955261</v>
      </c>
      <c r="D43" s="15">
        <f t="shared" si="0"/>
        <v>1031489</v>
      </c>
      <c r="E43" s="15">
        <f t="shared" si="1"/>
        <v>8.6279086671549976</v>
      </c>
      <c r="F43" s="44">
        <f>F44+F45</f>
        <v>12986750</v>
      </c>
    </row>
    <row r="44" spans="1:6" ht="22.5" customHeight="1" x14ac:dyDescent="0.3">
      <c r="A44" s="13" t="s">
        <v>76</v>
      </c>
      <c r="B44" s="20" t="s">
        <v>77</v>
      </c>
      <c r="C44" s="44">
        <f>5624900+1000000</f>
        <v>6624900</v>
      </c>
      <c r="D44" s="15">
        <f t="shared" si="0"/>
        <v>-157600</v>
      </c>
      <c r="E44" s="15">
        <f t="shared" si="1"/>
        <v>-2.3789038325106873</v>
      </c>
      <c r="F44" s="44">
        <f>6624900-157600</f>
        <v>6467300</v>
      </c>
    </row>
    <row r="45" spans="1:6" x14ac:dyDescent="0.3">
      <c r="A45" s="13" t="s">
        <v>78</v>
      </c>
      <c r="B45" s="20" t="s">
        <v>79</v>
      </c>
      <c r="C45" s="44">
        <f>2964318+812414+165686+449490+938453</f>
        <v>5330361</v>
      </c>
      <c r="D45" s="15">
        <f t="shared" si="0"/>
        <v>1189089</v>
      </c>
      <c r="E45" s="15">
        <f t="shared" si="1"/>
        <v>22.307851194318729</v>
      </c>
      <c r="F45" s="44">
        <f>5330361-40000+656304+7524+300000+265261</f>
        <v>6519450</v>
      </c>
    </row>
    <row r="46" spans="1:6" x14ac:dyDescent="0.3">
      <c r="A46" s="13" t="s">
        <v>80</v>
      </c>
      <c r="B46" s="20" t="s">
        <v>81</v>
      </c>
      <c r="C46" s="44">
        <f>C48+C49+C47</f>
        <v>30653310</v>
      </c>
      <c r="D46" s="15">
        <f t="shared" si="0"/>
        <v>-1700260</v>
      </c>
      <c r="E46" s="15">
        <f t="shared" si="1"/>
        <v>-5.5467419342315623</v>
      </c>
      <c r="F46" s="44">
        <f>F48+F49+F47</f>
        <v>28953050</v>
      </c>
    </row>
    <row r="47" spans="1:6" x14ac:dyDescent="0.3">
      <c r="A47" s="13" t="s">
        <v>82</v>
      </c>
      <c r="B47" s="20" t="s">
        <v>83</v>
      </c>
      <c r="C47" s="44">
        <f>11065100+1523000+5488000</f>
        <v>18076100</v>
      </c>
      <c r="D47" s="15">
        <f t="shared" si="0"/>
        <v>2767277</v>
      </c>
      <c r="E47" s="15">
        <f t="shared" si="1"/>
        <v>15.309037900874628</v>
      </c>
      <c r="F47" s="44">
        <f>18076100+2767277</f>
        <v>20843377</v>
      </c>
    </row>
    <row r="48" spans="1:6" ht="61.5" customHeight="1" x14ac:dyDescent="0.3">
      <c r="A48" s="13" t="s">
        <v>110</v>
      </c>
      <c r="B48" s="28" t="s">
        <v>84</v>
      </c>
      <c r="C48" s="44">
        <f>2317000+295040+46170+2169000+250000</f>
        <v>5077210</v>
      </c>
      <c r="D48" s="15">
        <f t="shared" si="0"/>
        <v>411496</v>
      </c>
      <c r="E48" s="15">
        <f t="shared" si="1"/>
        <v>8.1047662003344385</v>
      </c>
      <c r="F48" s="44">
        <f>5077210+411496</f>
        <v>5488706</v>
      </c>
    </row>
    <row r="49" spans="1:6" ht="39.75" customHeight="1" x14ac:dyDescent="0.3">
      <c r="A49" s="13" t="s">
        <v>85</v>
      </c>
      <c r="B49" s="29" t="s">
        <v>86</v>
      </c>
      <c r="C49" s="44">
        <f>7500000</f>
        <v>7500000</v>
      </c>
      <c r="D49" s="15">
        <f t="shared" si="0"/>
        <v>-4879033</v>
      </c>
      <c r="E49" s="15">
        <f t="shared" si="1"/>
        <v>-65.053773333333339</v>
      </c>
      <c r="F49" s="44">
        <f>7500000-4879033</f>
        <v>2620967</v>
      </c>
    </row>
    <row r="50" spans="1:6" x14ac:dyDescent="0.3">
      <c r="A50" s="13" t="s">
        <v>87</v>
      </c>
      <c r="B50" s="20" t="s">
        <v>88</v>
      </c>
      <c r="C50" s="44">
        <f>SUM(C51:C71)</f>
        <v>14406272</v>
      </c>
      <c r="D50" s="15">
        <f t="shared" si="0"/>
        <v>7149907</v>
      </c>
      <c r="E50" s="15">
        <f t="shared" si="1"/>
        <v>49.630515097868482</v>
      </c>
      <c r="F50" s="44">
        <f>SUM(F51:F72)</f>
        <v>21556179</v>
      </c>
    </row>
    <row r="51" spans="1:6" ht="75" x14ac:dyDescent="0.3">
      <c r="A51" s="13" t="s">
        <v>129</v>
      </c>
      <c r="B51" s="20" t="s">
        <v>130</v>
      </c>
      <c r="C51" s="44">
        <v>500</v>
      </c>
      <c r="D51" s="15">
        <f t="shared" si="0"/>
        <v>11380</v>
      </c>
      <c r="E51" s="15"/>
      <c r="F51" s="44">
        <v>11880</v>
      </c>
    </row>
    <row r="52" spans="1:6" ht="75" x14ac:dyDescent="0.3">
      <c r="A52" s="32" t="s">
        <v>131</v>
      </c>
      <c r="B52" s="20" t="s">
        <v>132</v>
      </c>
      <c r="C52" s="44">
        <v>4000</v>
      </c>
      <c r="D52" s="15">
        <f t="shared" si="0"/>
        <v>101040</v>
      </c>
      <c r="E52" s="15"/>
      <c r="F52" s="44">
        <v>105040</v>
      </c>
    </row>
    <row r="53" spans="1:6" ht="75" x14ac:dyDescent="0.3">
      <c r="A53" s="32" t="s">
        <v>139</v>
      </c>
      <c r="B53" s="20" t="s">
        <v>140</v>
      </c>
      <c r="C53" s="44"/>
      <c r="D53" s="44">
        <f t="shared" si="0"/>
        <v>2160</v>
      </c>
      <c r="E53" s="44"/>
      <c r="F53" s="44">
        <v>2160</v>
      </c>
    </row>
    <row r="54" spans="1:6" ht="93.75" x14ac:dyDescent="0.3">
      <c r="A54" s="32" t="s">
        <v>141</v>
      </c>
      <c r="B54" s="20" t="s">
        <v>142</v>
      </c>
      <c r="C54" s="44"/>
      <c r="D54" s="44">
        <f t="shared" si="0"/>
        <v>126500</v>
      </c>
      <c r="E54" s="44"/>
      <c r="F54" s="44">
        <f>5500+121000</f>
        <v>126500</v>
      </c>
    </row>
    <row r="55" spans="1:6" ht="75" x14ac:dyDescent="0.3">
      <c r="A55" s="32" t="s">
        <v>143</v>
      </c>
      <c r="B55" s="20" t="s">
        <v>144</v>
      </c>
      <c r="C55" s="44"/>
      <c r="D55" s="44">
        <f t="shared" si="0"/>
        <v>2400</v>
      </c>
      <c r="E55" s="44"/>
      <c r="F55" s="44">
        <v>2400</v>
      </c>
    </row>
    <row r="56" spans="1:6" ht="75" x14ac:dyDescent="0.3">
      <c r="A56" s="32" t="s">
        <v>125</v>
      </c>
      <c r="B56" s="20" t="s">
        <v>126</v>
      </c>
      <c r="C56" s="44">
        <v>15300</v>
      </c>
      <c r="D56" s="15">
        <f t="shared" si="0"/>
        <v>1589800</v>
      </c>
      <c r="E56" s="15"/>
      <c r="F56" s="44">
        <f>15300+1600000-10200</f>
        <v>1605100</v>
      </c>
    </row>
    <row r="57" spans="1:6" ht="75" x14ac:dyDescent="0.3">
      <c r="A57" s="32" t="s">
        <v>145</v>
      </c>
      <c r="B57" s="20" t="s">
        <v>146</v>
      </c>
      <c r="C57" s="44"/>
      <c r="D57" s="44">
        <f t="shared" si="0"/>
        <v>19450</v>
      </c>
      <c r="E57" s="44"/>
      <c r="F57" s="44">
        <v>19450</v>
      </c>
    </row>
    <row r="58" spans="1:6" ht="75" x14ac:dyDescent="0.3">
      <c r="A58" s="32" t="s">
        <v>147</v>
      </c>
      <c r="B58" s="20" t="s">
        <v>148</v>
      </c>
      <c r="C58" s="44"/>
      <c r="D58" s="44">
        <f t="shared" si="0"/>
        <v>60000</v>
      </c>
      <c r="E58" s="44"/>
      <c r="F58" s="44">
        <v>60000</v>
      </c>
    </row>
    <row r="59" spans="1:6" ht="93.75" x14ac:dyDescent="0.3">
      <c r="A59" s="32" t="s">
        <v>149</v>
      </c>
      <c r="B59" s="20" t="s">
        <v>150</v>
      </c>
      <c r="C59" s="44"/>
      <c r="D59" s="44">
        <f t="shared" si="0"/>
        <v>25000</v>
      </c>
      <c r="E59" s="44"/>
      <c r="F59" s="44">
        <v>25000</v>
      </c>
    </row>
    <row r="60" spans="1:6" ht="75" x14ac:dyDescent="0.3">
      <c r="A60" s="32" t="s">
        <v>151</v>
      </c>
      <c r="B60" s="20" t="s">
        <v>152</v>
      </c>
      <c r="C60" s="44"/>
      <c r="D60" s="44">
        <f t="shared" si="0"/>
        <v>359400</v>
      </c>
      <c r="E60" s="44"/>
      <c r="F60" s="44">
        <v>359400</v>
      </c>
    </row>
    <row r="61" spans="1:6" ht="93.75" x14ac:dyDescent="0.3">
      <c r="A61" s="32" t="s">
        <v>133</v>
      </c>
      <c r="B61" s="20" t="s">
        <v>134</v>
      </c>
      <c r="C61" s="44">
        <v>300</v>
      </c>
      <c r="D61" s="15">
        <f t="shared" si="0"/>
        <v>156151</v>
      </c>
      <c r="E61" s="15"/>
      <c r="F61" s="44">
        <f>300+105000+51151</f>
        <v>156451</v>
      </c>
    </row>
    <row r="62" spans="1:6" ht="93.75" x14ac:dyDescent="0.3">
      <c r="A62" s="32" t="s">
        <v>111</v>
      </c>
      <c r="B62" s="20" t="s">
        <v>112</v>
      </c>
      <c r="C62" s="44">
        <v>100000</v>
      </c>
      <c r="D62" s="44">
        <f t="shared" si="0"/>
        <v>0</v>
      </c>
      <c r="E62" s="15">
        <f t="shared" si="1"/>
        <v>0</v>
      </c>
      <c r="F62" s="44">
        <v>100000</v>
      </c>
    </row>
    <row r="63" spans="1:6" ht="75" x14ac:dyDescent="0.3">
      <c r="A63" s="32" t="s">
        <v>153</v>
      </c>
      <c r="B63" s="20" t="s">
        <v>154</v>
      </c>
      <c r="C63" s="44"/>
      <c r="D63" s="44">
        <f t="shared" si="0"/>
        <v>53000</v>
      </c>
      <c r="E63" s="44"/>
      <c r="F63" s="44">
        <f>50000+3000</f>
        <v>53000</v>
      </c>
    </row>
    <row r="64" spans="1:6" ht="93.75" x14ac:dyDescent="0.3">
      <c r="A64" s="32" t="s">
        <v>155</v>
      </c>
      <c r="B64" s="20" t="s">
        <v>156</v>
      </c>
      <c r="C64" s="44"/>
      <c r="D64" s="44">
        <f t="shared" si="0"/>
        <v>21000</v>
      </c>
      <c r="E64" s="44"/>
      <c r="F64" s="44">
        <v>21000</v>
      </c>
    </row>
    <row r="65" spans="1:6" ht="75" x14ac:dyDescent="0.3">
      <c r="A65" s="32" t="s">
        <v>127</v>
      </c>
      <c r="B65" s="20" t="s">
        <v>128</v>
      </c>
      <c r="C65" s="44">
        <v>51500</v>
      </c>
      <c r="D65" s="15">
        <f t="shared" si="0"/>
        <v>-44000</v>
      </c>
      <c r="E65" s="15"/>
      <c r="F65" s="44">
        <f>51500-44000</f>
        <v>7500</v>
      </c>
    </row>
    <row r="66" spans="1:6" ht="75" x14ac:dyDescent="0.3">
      <c r="A66" s="32" t="s">
        <v>157</v>
      </c>
      <c r="B66" s="20" t="s">
        <v>158</v>
      </c>
      <c r="C66" s="44"/>
      <c r="D66" s="44">
        <f t="shared" si="0"/>
        <v>1253200</v>
      </c>
      <c r="E66" s="44"/>
      <c r="F66" s="44">
        <f>100000+1153200</f>
        <v>1253200</v>
      </c>
    </row>
    <row r="67" spans="1:6" ht="56.25" x14ac:dyDescent="0.3">
      <c r="A67" s="13" t="s">
        <v>113</v>
      </c>
      <c r="B67" s="21" t="s">
        <v>114</v>
      </c>
      <c r="C67" s="44">
        <v>9000000</v>
      </c>
      <c r="D67" s="15">
        <f t="shared" si="0"/>
        <v>-4200000</v>
      </c>
      <c r="E67" s="15">
        <f t="shared" si="1"/>
        <v>-46.666666666666664</v>
      </c>
      <c r="F67" s="44">
        <f>9000000-4200000</f>
        <v>4800000</v>
      </c>
    </row>
    <row r="68" spans="1:6" ht="75" x14ac:dyDescent="0.3">
      <c r="A68" s="32" t="s">
        <v>135</v>
      </c>
      <c r="B68" s="20" t="s">
        <v>136</v>
      </c>
      <c r="C68" s="44">
        <v>16400</v>
      </c>
      <c r="D68" s="15">
        <f t="shared" si="0"/>
        <v>3733951</v>
      </c>
      <c r="E68" s="15"/>
      <c r="F68" s="44">
        <f>16400+201000+50000+3482951</f>
        <v>3750351</v>
      </c>
    </row>
    <row r="69" spans="1:6" ht="56.25" x14ac:dyDescent="0.3">
      <c r="A69" s="13" t="s">
        <v>115</v>
      </c>
      <c r="B69" s="21" t="s">
        <v>116</v>
      </c>
      <c r="C69" s="44">
        <v>400000</v>
      </c>
      <c r="D69" s="15">
        <f t="shared" si="0"/>
        <v>-110000</v>
      </c>
      <c r="E69" s="15">
        <f t="shared" si="1"/>
        <v>-27.5</v>
      </c>
      <c r="F69" s="44">
        <f>400000-120000+10000</f>
        <v>290000</v>
      </c>
    </row>
    <row r="70" spans="1:6" ht="56.25" x14ac:dyDescent="0.3">
      <c r="A70" s="13" t="s">
        <v>117</v>
      </c>
      <c r="B70" s="21" t="s">
        <v>118</v>
      </c>
      <c r="C70" s="44">
        <f>974700+100793+1027+1505100</f>
        <v>2581620</v>
      </c>
      <c r="D70" s="15">
        <f t="shared" si="0"/>
        <v>206</v>
      </c>
      <c r="E70" s="15">
        <f t="shared" si="1"/>
        <v>7.9794857492601068E-3</v>
      </c>
      <c r="F70" s="44">
        <f>2581620+206</f>
        <v>2581826</v>
      </c>
    </row>
    <row r="71" spans="1:6" ht="56.25" x14ac:dyDescent="0.3">
      <c r="A71" s="13" t="s">
        <v>119</v>
      </c>
      <c r="B71" s="21" t="s">
        <v>120</v>
      </c>
      <c r="C71" s="44">
        <f>1540000+20000+24210+589442+63000</f>
        <v>2236652</v>
      </c>
      <c r="D71" s="15">
        <f t="shared" si="0"/>
        <v>533588</v>
      </c>
      <c r="E71" s="15">
        <f t="shared" si="1"/>
        <v>23.856549879015603</v>
      </c>
      <c r="F71" s="44">
        <f>2236652+371+296100+329864-100000+7253</f>
        <v>2770240</v>
      </c>
    </row>
    <row r="72" spans="1:6" ht="56.25" x14ac:dyDescent="0.3">
      <c r="A72" s="32" t="s">
        <v>159</v>
      </c>
      <c r="B72" s="21" t="s">
        <v>160</v>
      </c>
      <c r="C72" s="44"/>
      <c r="D72" s="44">
        <f t="shared" si="0"/>
        <v>3455681</v>
      </c>
      <c r="E72" s="44"/>
      <c r="F72" s="44">
        <f>225000+201500+2600000+300000+128381+800</f>
        <v>3455681</v>
      </c>
    </row>
    <row r="73" spans="1:6" s="11" customFormat="1" x14ac:dyDescent="0.3">
      <c r="A73" s="8" t="s">
        <v>89</v>
      </c>
      <c r="B73" s="12" t="s">
        <v>90</v>
      </c>
      <c r="C73" s="45">
        <f>C74+C79+C80+C83+C82</f>
        <v>7205235125.9299994</v>
      </c>
      <c r="D73" s="40">
        <f t="shared" si="0"/>
        <v>-80268775.699998856</v>
      </c>
      <c r="E73" s="10">
        <f t="shared" si="1"/>
        <v>-1.1140340918387182</v>
      </c>
      <c r="F73" s="45">
        <f>F74+F79+F80+F83+F82+F81</f>
        <v>7124966350.2300005</v>
      </c>
    </row>
    <row r="74" spans="1:6" s="11" customFormat="1" x14ac:dyDescent="0.3">
      <c r="A74" s="8" t="s">
        <v>91</v>
      </c>
      <c r="B74" s="12" t="s">
        <v>92</v>
      </c>
      <c r="C74" s="45">
        <f>C76+C77+C78+C75</f>
        <v>7336050248.9299994</v>
      </c>
      <c r="D74" s="40">
        <f t="shared" si="0"/>
        <v>-80292819.699998856</v>
      </c>
      <c r="E74" s="10">
        <f t="shared" si="1"/>
        <v>-1.0944965884293225</v>
      </c>
      <c r="F74" s="45">
        <f>F76+F77+F78+F75</f>
        <v>7255757429.2300005</v>
      </c>
    </row>
    <row r="75" spans="1:6" s="11" customFormat="1" x14ac:dyDescent="0.3">
      <c r="A75" s="30" t="s">
        <v>93</v>
      </c>
      <c r="B75" s="21" t="s">
        <v>94</v>
      </c>
      <c r="C75" s="46">
        <f>1022119600+1633400+84430400-1.3</f>
        <v>1108183398.7</v>
      </c>
      <c r="D75" s="42">
        <f t="shared" si="0"/>
        <v>15197600</v>
      </c>
      <c r="E75" s="31">
        <f t="shared" si="1"/>
        <v>1.3713975518698618</v>
      </c>
      <c r="F75" s="46">
        <f>1108183398.7+15197600</f>
        <v>1123380998.7</v>
      </c>
    </row>
    <row r="76" spans="1:6" x14ac:dyDescent="0.3">
      <c r="A76" s="13" t="s">
        <v>95</v>
      </c>
      <c r="B76" s="21" t="s">
        <v>96</v>
      </c>
      <c r="C76" s="47">
        <f>2108747447.41-27794300-5537000-360600+1500000+6651212.82-8097300+203172700+129897300-17164500</f>
        <v>2391014960.23</v>
      </c>
      <c r="D76" s="41">
        <f t="shared" si="0"/>
        <v>-95517380.699999809</v>
      </c>
      <c r="E76" s="15">
        <f t="shared" si="1"/>
        <v>-3.9948466357906653</v>
      </c>
      <c r="F76" s="47">
        <f>2391014960.23-540995.47-846172.41-7613300-75000-56575700-5000000-9889500-6322800-2002700-12.82-6651200</f>
        <v>2295497579.5300002</v>
      </c>
    </row>
    <row r="77" spans="1:6" x14ac:dyDescent="0.3">
      <c r="A77" s="13" t="s">
        <v>97</v>
      </c>
      <c r="B77" s="21" t="s">
        <v>98</v>
      </c>
      <c r="C77" s="44">
        <f>3727764131-18000000+1269000-472000+1810083-298900-6000000-689600-138400-2835200-24971700+4055700</f>
        <v>3681493114</v>
      </c>
      <c r="D77" s="41">
        <f t="shared" si="0"/>
        <v>1526934</v>
      </c>
      <c r="E77" s="15">
        <f t="shared" si="1"/>
        <v>4.1475943393550097E-2</v>
      </c>
      <c r="F77" s="44">
        <f>3681493114-3620166+11024100-1984400+600-301100+45400-991800-1586300-1203100+54800+88900</f>
        <v>3683020048</v>
      </c>
    </row>
    <row r="78" spans="1:6" x14ac:dyDescent="0.3">
      <c r="A78" s="13" t="s">
        <v>99</v>
      </c>
      <c r="B78" s="21" t="s">
        <v>100</v>
      </c>
      <c r="C78" s="44">
        <f>51681326+3139950+103636300-3098800</f>
        <v>155358776</v>
      </c>
      <c r="D78" s="41">
        <f t="shared" si="0"/>
        <v>-1499973</v>
      </c>
      <c r="E78" s="15">
        <f t="shared" si="1"/>
        <v>-0.96548971266355466</v>
      </c>
      <c r="F78" s="44">
        <f>155358776-2387400-6757655+3098900+3801200+744992-10</f>
        <v>153858803</v>
      </c>
    </row>
    <row r="79" spans="1:6" ht="20.25" customHeight="1" x14ac:dyDescent="0.3">
      <c r="A79" s="13" t="s">
        <v>121</v>
      </c>
      <c r="B79" s="21" t="s">
        <v>122</v>
      </c>
      <c r="C79" s="44">
        <f>200000+60951</f>
        <v>260951</v>
      </c>
      <c r="D79" s="41">
        <f t="shared" si="0"/>
        <v>0</v>
      </c>
      <c r="E79" s="15">
        <f t="shared" si="1"/>
        <v>0</v>
      </c>
      <c r="F79" s="44">
        <f>200000+60951</f>
        <v>260951</v>
      </c>
    </row>
    <row r="80" spans="1:6" ht="37.5" x14ac:dyDescent="0.3">
      <c r="A80" s="13" t="s">
        <v>123</v>
      </c>
      <c r="B80" s="21" t="s">
        <v>124</v>
      </c>
      <c r="C80" s="44">
        <v>1500</v>
      </c>
      <c r="D80" s="41">
        <f t="shared" si="0"/>
        <v>0</v>
      </c>
      <c r="E80" s="15">
        <f t="shared" si="1"/>
        <v>0</v>
      </c>
      <c r="F80" s="44">
        <v>1500</v>
      </c>
    </row>
    <row r="81" spans="1:6" x14ac:dyDescent="0.3">
      <c r="A81" s="13" t="s">
        <v>161</v>
      </c>
      <c r="B81" s="21" t="s">
        <v>162</v>
      </c>
      <c r="C81" s="44"/>
      <c r="D81" s="47">
        <f t="shared" si="0"/>
        <v>-1</v>
      </c>
      <c r="E81" s="44"/>
      <c r="F81" s="44">
        <v>-1</v>
      </c>
    </row>
    <row r="82" spans="1:6" x14ac:dyDescent="0.3">
      <c r="A82" s="13" t="s">
        <v>137</v>
      </c>
      <c r="B82" s="21" t="s">
        <v>138</v>
      </c>
      <c r="C82" s="44">
        <f>39600+9965+110997</f>
        <v>160562</v>
      </c>
      <c r="D82" s="41">
        <f t="shared" si="0"/>
        <v>24045</v>
      </c>
      <c r="E82" s="15"/>
      <c r="F82" s="44">
        <f>160562+24045</f>
        <v>184607</v>
      </c>
    </row>
    <row r="83" spans="1:6" ht="37.5" x14ac:dyDescent="0.3">
      <c r="A83" s="13" t="s">
        <v>102</v>
      </c>
      <c r="B83" s="21" t="s">
        <v>103</v>
      </c>
      <c r="C83" s="44">
        <f>-150653-131087483</f>
        <v>-131238136</v>
      </c>
      <c r="D83" s="47">
        <f t="shared" si="0"/>
        <v>0</v>
      </c>
      <c r="E83" s="15"/>
      <c r="F83" s="44">
        <f>-150653-131087483</f>
        <v>-131238136</v>
      </c>
    </row>
    <row r="84" spans="1:6" x14ac:dyDescent="0.3">
      <c r="A84" s="26"/>
      <c r="B84" s="27" t="s">
        <v>101</v>
      </c>
      <c r="C84" s="45">
        <f>C5+C73</f>
        <v>10221337996.93</v>
      </c>
      <c r="D84" s="40">
        <f t="shared" si="0"/>
        <v>5400940.2999992371</v>
      </c>
      <c r="E84" s="10">
        <f t="shared" si="1"/>
        <v>5.2839856206901459E-2</v>
      </c>
      <c r="F84" s="45">
        <f>F5+F73</f>
        <v>10226738937.23</v>
      </c>
    </row>
    <row r="85" spans="1:6" x14ac:dyDescent="0.3">
      <c r="B85" s="4"/>
    </row>
    <row r="86" spans="1:6" x14ac:dyDescent="0.3">
      <c r="B86" s="4"/>
    </row>
    <row r="87" spans="1:6" x14ac:dyDescent="0.3">
      <c r="B87" s="4"/>
    </row>
    <row r="88" spans="1:6" x14ac:dyDescent="0.3">
      <c r="B88" s="4"/>
    </row>
    <row r="89" spans="1:6" x14ac:dyDescent="0.3">
      <c r="B89" s="4"/>
    </row>
    <row r="90" spans="1:6" x14ac:dyDescent="0.3">
      <c r="A90" s="3"/>
      <c r="B90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dcterms:created xsi:type="dcterms:W3CDTF">2018-12-18T05:09:39Z</dcterms:created>
  <dcterms:modified xsi:type="dcterms:W3CDTF">2020-11-25T12:03:13Z</dcterms:modified>
</cp:coreProperties>
</file>