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0 год\Отчёты в 2020 году\Оперативный отчет за 1 полугодие 2020\оперативный отчёт 1 полугодие\"/>
    </mc:Choice>
  </mc:AlternateContent>
  <bookViews>
    <workbookView xWindow="480" yWindow="120" windowWidth="15570" windowHeight="11565"/>
  </bookViews>
  <sheets>
    <sheet name="программы" sheetId="4" r:id="rId1"/>
    <sheet name="Лист2" sheetId="2" state="hidden" r:id="rId2"/>
    <sheet name="Лист3" sheetId="3" state="hidden" r:id="rId3"/>
  </sheets>
  <definedNames>
    <definedName name="_xlnm._FilterDatabase" localSheetId="0" hidden="1">программы!$A$4:$H$144</definedName>
    <definedName name="_xlnm.Print_Titles" localSheetId="0">программы!$3:$4</definedName>
    <definedName name="_xlnm.Print_Area" localSheetId="0">программы!$A$1:$H$144</definedName>
  </definedNames>
  <calcPr calcId="152511"/>
</workbook>
</file>

<file path=xl/calcChain.xml><?xml version="1.0" encoding="utf-8"?>
<calcChain xmlns="http://schemas.openxmlformats.org/spreadsheetml/2006/main">
  <c r="H83" i="4" l="1"/>
  <c r="H84" i="4"/>
  <c r="H85" i="4"/>
  <c r="H86" i="4"/>
  <c r="H87" i="4"/>
  <c r="H79" i="4"/>
  <c r="H60" i="4"/>
  <c r="H61" i="4"/>
  <c r="H62" i="4"/>
  <c r="H56" i="4"/>
  <c r="H34" i="4"/>
  <c r="H29" i="4"/>
  <c r="H30" i="4"/>
  <c r="H24" i="4"/>
  <c r="H25" i="4"/>
  <c r="H18" i="4"/>
  <c r="D48" i="4" l="1"/>
  <c r="D49" i="4" l="1"/>
  <c r="D46" i="4"/>
  <c r="D74" i="4"/>
  <c r="G7" i="4" l="1"/>
  <c r="H7" i="4"/>
  <c r="G8" i="4"/>
  <c r="H8" i="4"/>
  <c r="G9" i="4"/>
  <c r="H9" i="4"/>
  <c r="G11" i="4"/>
  <c r="H11" i="4"/>
  <c r="G13" i="4"/>
  <c r="H13" i="4"/>
  <c r="G15" i="4"/>
  <c r="H15" i="4"/>
  <c r="G17" i="4"/>
  <c r="H17" i="4"/>
  <c r="G20" i="4"/>
  <c r="H20" i="4"/>
  <c r="G23" i="4"/>
  <c r="H23" i="4"/>
  <c r="G27" i="4"/>
  <c r="H27" i="4"/>
  <c r="G31" i="4"/>
  <c r="H31" i="4"/>
  <c r="G32" i="4"/>
  <c r="H32" i="4"/>
  <c r="G33" i="4"/>
  <c r="H33" i="4"/>
  <c r="G35" i="4"/>
  <c r="H35" i="4"/>
  <c r="G38" i="4"/>
  <c r="H38" i="4"/>
  <c r="G39" i="4"/>
  <c r="H39" i="4"/>
  <c r="G40" i="4"/>
  <c r="H40" i="4"/>
  <c r="G42" i="4"/>
  <c r="H42" i="4"/>
  <c r="G45" i="4"/>
  <c r="H45" i="4"/>
  <c r="G46" i="4"/>
  <c r="H46" i="4"/>
  <c r="G48" i="4"/>
  <c r="H48" i="4"/>
  <c r="G49" i="4"/>
  <c r="H49" i="4"/>
  <c r="G51" i="4"/>
  <c r="H51" i="4"/>
  <c r="G54" i="4"/>
  <c r="H54" i="4"/>
  <c r="G55" i="4"/>
  <c r="H55" i="4"/>
  <c r="G58" i="4"/>
  <c r="H58" i="4"/>
  <c r="G59" i="4"/>
  <c r="H59" i="4"/>
  <c r="G64" i="4"/>
  <c r="H64" i="4"/>
  <c r="G67" i="4"/>
  <c r="H67" i="4"/>
  <c r="G68" i="4"/>
  <c r="H68" i="4"/>
  <c r="G70" i="4"/>
  <c r="H70" i="4"/>
  <c r="G71" i="4"/>
  <c r="H71" i="4"/>
  <c r="G73" i="4"/>
  <c r="H73" i="4"/>
  <c r="G74" i="4"/>
  <c r="H74" i="4"/>
  <c r="G75" i="4"/>
  <c r="H75" i="4"/>
  <c r="G76" i="4"/>
  <c r="H76" i="4"/>
  <c r="G77" i="4"/>
  <c r="H77" i="4"/>
  <c r="G80" i="4"/>
  <c r="H80" i="4"/>
  <c r="G82" i="4"/>
  <c r="H82" i="4"/>
  <c r="G90" i="4"/>
  <c r="H90" i="4"/>
  <c r="G91" i="4"/>
  <c r="H91" i="4"/>
  <c r="G93" i="4"/>
  <c r="H93" i="4"/>
  <c r="G94" i="4"/>
  <c r="H94" i="4"/>
  <c r="G97" i="4"/>
  <c r="H97" i="4"/>
  <c r="G99" i="4"/>
  <c r="H99" i="4"/>
  <c r="G100" i="4"/>
  <c r="H100" i="4"/>
  <c r="G101" i="4"/>
  <c r="H101" i="4"/>
  <c r="G102" i="4"/>
  <c r="H102" i="4"/>
  <c r="G103" i="4"/>
  <c r="H103" i="4"/>
  <c r="G104" i="4"/>
  <c r="H104" i="4"/>
  <c r="G105" i="4"/>
  <c r="H105" i="4"/>
  <c r="G108" i="4"/>
  <c r="H108" i="4"/>
  <c r="G110" i="4"/>
  <c r="H110" i="4"/>
  <c r="G112" i="4"/>
  <c r="H112" i="4"/>
  <c r="G114" i="4"/>
  <c r="H114" i="4"/>
  <c r="G115" i="4"/>
  <c r="H115" i="4"/>
  <c r="G118" i="4"/>
  <c r="H118" i="4"/>
  <c r="G120" i="4"/>
  <c r="H120" i="4"/>
  <c r="G121" i="4"/>
  <c r="H121" i="4"/>
  <c r="G123" i="4"/>
  <c r="H123" i="4"/>
  <c r="G126" i="4"/>
  <c r="H126" i="4"/>
  <c r="G128" i="4"/>
  <c r="H128" i="4"/>
  <c r="G130" i="4"/>
  <c r="H130" i="4"/>
  <c r="G131" i="4"/>
  <c r="H131" i="4"/>
  <c r="G134" i="4"/>
  <c r="H134" i="4"/>
  <c r="G135" i="4"/>
  <c r="H135" i="4"/>
  <c r="G136" i="4"/>
  <c r="H136" i="4"/>
  <c r="G138" i="4"/>
  <c r="H138" i="4"/>
  <c r="G139" i="4"/>
  <c r="H139" i="4"/>
  <c r="G140" i="4"/>
  <c r="H140" i="4"/>
  <c r="G142" i="4"/>
  <c r="H142" i="4"/>
  <c r="G143" i="4"/>
  <c r="H143" i="4"/>
  <c r="D112" i="4" l="1"/>
  <c r="D89" i="4"/>
  <c r="E67" i="4"/>
  <c r="D142" i="4"/>
  <c r="D143" i="4"/>
  <c r="D140" i="4"/>
  <c r="D139" i="4"/>
  <c r="D138" i="4"/>
  <c r="D135" i="4"/>
  <c r="D131" i="4"/>
  <c r="D130" i="4"/>
  <c r="D126" i="4"/>
  <c r="D121" i="4"/>
  <c r="C119" i="4"/>
  <c r="D119" i="4"/>
  <c r="D114" i="4"/>
  <c r="D110" i="4"/>
  <c r="D108" i="4"/>
  <c r="D109" i="4"/>
  <c r="D90" i="4"/>
  <c r="D82" i="4"/>
  <c r="D80" i="4"/>
  <c r="D78" i="4" s="1"/>
  <c r="C66" i="4"/>
  <c r="D71" i="4"/>
  <c r="D68" i="4"/>
  <c r="D67" i="4"/>
  <c r="D64" i="4"/>
  <c r="D58" i="4"/>
  <c r="D59" i="4"/>
  <c r="D54" i="4"/>
  <c r="D55" i="4"/>
  <c r="D51" i="4"/>
  <c r="D42" i="4"/>
  <c r="D39" i="4"/>
  <c r="D37" i="4"/>
  <c r="D40" i="4"/>
  <c r="D27" i="4"/>
  <c r="D17" i="4"/>
  <c r="D15" i="4"/>
  <c r="D13" i="4"/>
  <c r="D11" i="4"/>
  <c r="D7" i="4"/>
  <c r="D8" i="4"/>
  <c r="F93" i="4"/>
  <c r="F94" i="4"/>
  <c r="C92" i="4"/>
  <c r="D92" i="4"/>
  <c r="E92" i="4"/>
  <c r="B92" i="4"/>
  <c r="F87" i="4"/>
  <c r="C86" i="4"/>
  <c r="D86" i="4"/>
  <c r="E86" i="4"/>
  <c r="B86" i="4"/>
  <c r="F79" i="4"/>
  <c r="C78" i="4"/>
  <c r="E78" i="4"/>
  <c r="B78" i="4"/>
  <c r="C83" i="4"/>
  <c r="C72" i="4"/>
  <c r="C69" i="4"/>
  <c r="F84" i="4"/>
  <c r="F85" i="4"/>
  <c r="D83" i="4"/>
  <c r="E83" i="4"/>
  <c r="B83" i="4"/>
  <c r="F56" i="4"/>
  <c r="C53" i="4"/>
  <c r="D53" i="4"/>
  <c r="E53" i="4"/>
  <c r="B53" i="4"/>
  <c r="D28" i="4"/>
  <c r="E28" i="4"/>
  <c r="C28" i="4"/>
  <c r="B28" i="4"/>
  <c r="F34" i="4"/>
  <c r="D88" i="4" l="1"/>
  <c r="G28" i="4"/>
  <c r="H28" i="4"/>
  <c r="G78" i="4"/>
  <c r="H78" i="4"/>
  <c r="G92" i="4"/>
  <c r="H92" i="4"/>
  <c r="H53" i="4"/>
  <c r="G53" i="4"/>
  <c r="F86" i="4"/>
  <c r="F92" i="4"/>
  <c r="F83" i="4"/>
  <c r="F30" i="4"/>
  <c r="F29" i="4"/>
  <c r="F27" i="4"/>
  <c r="F31" i="4"/>
  <c r="F28" i="4" l="1"/>
  <c r="F54" i="4" l="1"/>
  <c r="F38" i="4"/>
  <c r="F32" i="4"/>
  <c r="F18" i="4"/>
  <c r="D66" i="4"/>
  <c r="E66" i="4"/>
  <c r="C16" i="4"/>
  <c r="C141" i="4"/>
  <c r="C137" i="4"/>
  <c r="C133" i="4"/>
  <c r="C132" i="4" s="1"/>
  <c r="C129" i="4"/>
  <c r="C127" i="4"/>
  <c r="C125" i="4"/>
  <c r="C122" i="4"/>
  <c r="C117" i="4"/>
  <c r="C113" i="4"/>
  <c r="C111" i="4"/>
  <c r="C109" i="4"/>
  <c r="C107" i="4"/>
  <c r="C98" i="4"/>
  <c r="C96" i="4"/>
  <c r="C89" i="4"/>
  <c r="C88" i="4" s="1"/>
  <c r="C81" i="4"/>
  <c r="C65" i="4" s="1"/>
  <c r="C63" i="4"/>
  <c r="C60" i="4"/>
  <c r="C57" i="4"/>
  <c r="C50" i="4"/>
  <c r="C47" i="4"/>
  <c r="C44" i="4"/>
  <c r="C41" i="4"/>
  <c r="C37" i="4"/>
  <c r="C26" i="4"/>
  <c r="C22" i="4"/>
  <c r="C19" i="4"/>
  <c r="C14" i="4"/>
  <c r="C12" i="4"/>
  <c r="C10" i="4"/>
  <c r="C6" i="4"/>
  <c r="F138" i="4"/>
  <c r="F139" i="4"/>
  <c r="F140" i="4"/>
  <c r="D137" i="4"/>
  <c r="E137" i="4"/>
  <c r="B137" i="4"/>
  <c r="G66" i="4" l="1"/>
  <c r="H66" i="4"/>
  <c r="G137" i="4"/>
  <c r="H137" i="4"/>
  <c r="F39" i="4"/>
  <c r="C95" i="4"/>
  <c r="E37" i="4"/>
  <c r="C43" i="4"/>
  <c r="C21" i="4"/>
  <c r="C124" i="4"/>
  <c r="C36" i="4"/>
  <c r="C116" i="4"/>
  <c r="C106" i="4"/>
  <c r="C5" i="4"/>
  <c r="C52" i="4"/>
  <c r="F137" i="4"/>
  <c r="F128" i="4"/>
  <c r="D127" i="4"/>
  <c r="E127" i="4"/>
  <c r="B127" i="4"/>
  <c r="B37" i="4"/>
  <c r="B26" i="4"/>
  <c r="B22" i="4"/>
  <c r="H127" i="4" l="1"/>
  <c r="G127" i="4"/>
  <c r="G37" i="4"/>
  <c r="H37" i="4"/>
  <c r="C144" i="4"/>
  <c r="F127" i="4"/>
  <c r="F8" i="4"/>
  <c r="F9" i="4"/>
  <c r="F11" i="4"/>
  <c r="F13" i="4"/>
  <c r="F15" i="4"/>
  <c r="F17" i="4"/>
  <c r="F20" i="4"/>
  <c r="F23" i="4"/>
  <c r="F24" i="4"/>
  <c r="F25" i="4"/>
  <c r="F33" i="4"/>
  <c r="F35" i="4"/>
  <c r="F40" i="4"/>
  <c r="F42" i="4"/>
  <c r="F45" i="4"/>
  <c r="F46" i="4"/>
  <c r="F48" i="4"/>
  <c r="F49" i="4"/>
  <c r="F51" i="4"/>
  <c r="F55" i="4"/>
  <c r="F58" i="4"/>
  <c r="F59" i="4"/>
  <c r="F61" i="4"/>
  <c r="F62" i="4"/>
  <c r="F64" i="4"/>
  <c r="F67" i="4"/>
  <c r="F68" i="4"/>
  <c r="F70" i="4"/>
  <c r="F71" i="4"/>
  <c r="F73" i="4"/>
  <c r="F74" i="4"/>
  <c r="F75" i="4"/>
  <c r="F76" i="4"/>
  <c r="F77" i="4"/>
  <c r="F80" i="4"/>
  <c r="F82" i="4"/>
  <c r="F90" i="4"/>
  <c r="F91" i="4"/>
  <c r="F97" i="4"/>
  <c r="F99" i="4"/>
  <c r="F100" i="4"/>
  <c r="F101" i="4"/>
  <c r="F102" i="4"/>
  <c r="F103" i="4"/>
  <c r="F104" i="4"/>
  <c r="F105" i="4"/>
  <c r="F108" i="4"/>
  <c r="F110" i="4"/>
  <c r="F112" i="4"/>
  <c r="F114" i="4"/>
  <c r="F115" i="4"/>
  <c r="F118" i="4"/>
  <c r="F120" i="4"/>
  <c r="F121" i="4"/>
  <c r="F123" i="4"/>
  <c r="F126" i="4"/>
  <c r="F130" i="4"/>
  <c r="F131" i="4"/>
  <c r="F134" i="4"/>
  <c r="F135" i="4"/>
  <c r="F136" i="4"/>
  <c r="F142" i="4"/>
  <c r="F143" i="4"/>
  <c r="F7" i="4"/>
  <c r="E41" i="4"/>
  <c r="H41" i="4" l="1"/>
  <c r="D26" i="4"/>
  <c r="E26" i="4"/>
  <c r="D22" i="4"/>
  <c r="E22" i="4"/>
  <c r="G26" i="4" l="1"/>
  <c r="H26" i="4"/>
  <c r="G22" i="4"/>
  <c r="H22" i="4"/>
  <c r="F26" i="4"/>
  <c r="F22" i="4"/>
  <c r="F37" i="4"/>
  <c r="D133" i="4"/>
  <c r="E133" i="4"/>
  <c r="B133" i="4"/>
  <c r="B132" i="4" s="1"/>
  <c r="D122" i="4"/>
  <c r="E122" i="4"/>
  <c r="B122" i="4"/>
  <c r="B98" i="4"/>
  <c r="G122" i="4" l="1"/>
  <c r="H122" i="4"/>
  <c r="G133" i="4"/>
  <c r="H133" i="4"/>
  <c r="F133" i="4"/>
  <c r="F122" i="4"/>
  <c r="D132" i="4"/>
  <c r="E132" i="4"/>
  <c r="D63" i="4"/>
  <c r="E63" i="4"/>
  <c r="B63" i="4"/>
  <c r="D60" i="4"/>
  <c r="E60" i="4"/>
  <c r="B60" i="4"/>
  <c r="E57" i="4"/>
  <c r="B57" i="4"/>
  <c r="D47" i="4"/>
  <c r="E47" i="4"/>
  <c r="B47" i="4"/>
  <c r="D19" i="4"/>
  <c r="E19" i="4"/>
  <c r="B19" i="4"/>
  <c r="G132" i="4" l="1"/>
  <c r="H132" i="4"/>
  <c r="H57" i="4"/>
  <c r="H47" i="4"/>
  <c r="G47" i="4"/>
  <c r="H63" i="4"/>
  <c r="G63" i="4"/>
  <c r="H19" i="4"/>
  <c r="G19" i="4"/>
  <c r="E52" i="4"/>
  <c r="F63" i="4"/>
  <c r="F132" i="4"/>
  <c r="F60" i="4"/>
  <c r="F47" i="4"/>
  <c r="F19" i="4"/>
  <c r="D57" i="4"/>
  <c r="F57" i="4" s="1"/>
  <c r="D81" i="4"/>
  <c r="E81" i="4"/>
  <c r="E129" i="4"/>
  <c r="B129" i="4"/>
  <c r="E109" i="4"/>
  <c r="D96" i="4"/>
  <c r="E96" i="4"/>
  <c r="B96" i="4"/>
  <c r="B66" i="4"/>
  <c r="D50" i="4"/>
  <c r="E50" i="4"/>
  <c r="B50" i="4"/>
  <c r="D44" i="4"/>
  <c r="E44" i="4"/>
  <c r="B44" i="4"/>
  <c r="D69" i="4"/>
  <c r="E69" i="4"/>
  <c r="B69" i="4"/>
  <c r="G57" i="4" l="1"/>
  <c r="H69" i="4"/>
  <c r="G69" i="4"/>
  <c r="H109" i="4"/>
  <c r="G109" i="4"/>
  <c r="G50" i="4"/>
  <c r="H50" i="4"/>
  <c r="G96" i="4"/>
  <c r="H96" i="4"/>
  <c r="H129" i="4"/>
  <c r="G44" i="4"/>
  <c r="H44" i="4"/>
  <c r="G81" i="4"/>
  <c r="H81" i="4"/>
  <c r="H52" i="4"/>
  <c r="F69" i="4"/>
  <c r="F50" i="4"/>
  <c r="F81" i="4"/>
  <c r="F44" i="4"/>
  <c r="F96" i="4"/>
  <c r="F78" i="4"/>
  <c r="D43" i="4"/>
  <c r="B43" i="4"/>
  <c r="E43" i="4"/>
  <c r="D129" i="4"/>
  <c r="F129" i="4" s="1"/>
  <c r="D113" i="4"/>
  <c r="E113" i="4"/>
  <c r="B113" i="4"/>
  <c r="G113" i="4" l="1"/>
  <c r="H113" i="4"/>
  <c r="H43" i="4"/>
  <c r="G43" i="4"/>
  <c r="G129" i="4"/>
  <c r="F109" i="4"/>
  <c r="F66" i="4"/>
  <c r="F43" i="4"/>
  <c r="F113" i="4"/>
  <c r="B52" i="4"/>
  <c r="D21" i="4" l="1"/>
  <c r="E21" i="4"/>
  <c r="B21" i="4"/>
  <c r="G21" i="4" l="1"/>
  <c r="H21" i="4"/>
  <c r="F21" i="4"/>
  <c r="B141" i="4"/>
  <c r="D141" i="4"/>
  <c r="B125" i="4"/>
  <c r="B124" i="4" s="1"/>
  <c r="D125" i="4"/>
  <c r="D124" i="4" s="1"/>
  <c r="B117" i="4"/>
  <c r="D117" i="4"/>
  <c r="B119" i="4"/>
  <c r="B89" i="4"/>
  <c r="B88" i="4" s="1"/>
  <c r="B81" i="4"/>
  <c r="B72" i="4"/>
  <c r="D72" i="4"/>
  <c r="D65" i="4" s="1"/>
  <c r="E141" i="4"/>
  <c r="E125" i="4"/>
  <c r="B111" i="4"/>
  <c r="D111" i="4"/>
  <c r="B107" i="4"/>
  <c r="D107" i="4"/>
  <c r="E119" i="4"/>
  <c r="E117" i="4"/>
  <c r="E111" i="4"/>
  <c r="E107" i="4"/>
  <c r="B95" i="4"/>
  <c r="D98" i="4"/>
  <c r="E89" i="4"/>
  <c r="E72" i="4"/>
  <c r="B41" i="4"/>
  <c r="D41" i="4"/>
  <c r="G41" i="4" s="1"/>
  <c r="B16" i="4"/>
  <c r="D16" i="4"/>
  <c r="E16" i="4"/>
  <c r="B14" i="4"/>
  <c r="D14" i="4"/>
  <c r="E14" i="4"/>
  <c r="B12" i="4"/>
  <c r="D12" i="4"/>
  <c r="E12" i="4"/>
  <c r="B10" i="4"/>
  <c r="D10" i="4"/>
  <c r="E10" i="4"/>
  <c r="B6" i="4"/>
  <c r="D6" i="4"/>
  <c r="G14" i="4" l="1"/>
  <c r="H14" i="4"/>
  <c r="G72" i="4"/>
  <c r="H72" i="4"/>
  <c r="G125" i="4"/>
  <c r="H125" i="4"/>
  <c r="G12" i="4"/>
  <c r="H12" i="4"/>
  <c r="E88" i="4"/>
  <c r="G89" i="4"/>
  <c r="H89" i="4"/>
  <c r="G141" i="4"/>
  <c r="H141" i="4"/>
  <c r="G10" i="4"/>
  <c r="H10" i="4"/>
  <c r="G117" i="4"/>
  <c r="H117" i="4"/>
  <c r="G107" i="4"/>
  <c r="H107" i="4"/>
  <c r="G111" i="4"/>
  <c r="H111" i="4"/>
  <c r="G16" i="4"/>
  <c r="H16" i="4"/>
  <c r="H119" i="4"/>
  <c r="G119" i="4"/>
  <c r="B65" i="4"/>
  <c r="E124" i="4"/>
  <c r="E65" i="4"/>
  <c r="B5" i="4"/>
  <c r="F111" i="4"/>
  <c r="F117" i="4"/>
  <c r="F125" i="4"/>
  <c r="F72" i="4"/>
  <c r="F119" i="4"/>
  <c r="F141" i="4"/>
  <c r="F10" i="4"/>
  <c r="F12" i="4"/>
  <c r="F14" i="4"/>
  <c r="F16" i="4"/>
  <c r="F41" i="4"/>
  <c r="F89" i="4"/>
  <c r="F107" i="4"/>
  <c r="D95" i="4"/>
  <c r="D5" i="4"/>
  <c r="E116" i="4"/>
  <c r="B116" i="4"/>
  <c r="D116" i="4"/>
  <c r="E106" i="4"/>
  <c r="D106" i="4"/>
  <c r="E98" i="4"/>
  <c r="E6" i="4"/>
  <c r="B36" i="4"/>
  <c r="D36" i="4"/>
  <c r="E36" i="4"/>
  <c r="F6" i="4" l="1"/>
  <c r="G6" i="4"/>
  <c r="H6" i="4"/>
  <c r="G124" i="4"/>
  <c r="H124" i="4"/>
  <c r="G106" i="4"/>
  <c r="H106" i="4"/>
  <c r="H65" i="4"/>
  <c r="G65" i="4"/>
  <c r="G36" i="4"/>
  <c r="H36" i="4"/>
  <c r="G98" i="4"/>
  <c r="H98" i="4"/>
  <c r="G116" i="4"/>
  <c r="H116" i="4"/>
  <c r="G88" i="4"/>
  <c r="H88" i="4"/>
  <c r="F36" i="4"/>
  <c r="F98" i="4"/>
  <c r="F53" i="4"/>
  <c r="F65" i="4"/>
  <c r="F124" i="4"/>
  <c r="F116" i="4"/>
  <c r="F106" i="4"/>
  <c r="F88" i="4"/>
  <c r="E95" i="4"/>
  <c r="E5" i="4"/>
  <c r="D52" i="4"/>
  <c r="G52" i="4" s="1"/>
  <c r="H95" i="4" l="1"/>
  <c r="G95" i="4"/>
  <c r="D144" i="4"/>
  <c r="E144" i="4"/>
  <c r="F5" i="4"/>
  <c r="F52" i="4"/>
  <c r="F95" i="4"/>
  <c r="G5" i="4"/>
  <c r="H5" i="4"/>
  <c r="G144" i="4" l="1"/>
  <c r="H144" i="4"/>
  <c r="F144" i="4"/>
  <c r="B109" i="4"/>
  <c r="B106" i="4" s="1"/>
  <c r="B144" i="4" s="1"/>
</calcChain>
</file>

<file path=xl/sharedStrings.xml><?xml version="1.0" encoding="utf-8"?>
<sst xmlns="http://schemas.openxmlformats.org/spreadsheetml/2006/main" count="149" uniqueCount="71">
  <si>
    <t>Исполнено, руб.</t>
  </si>
  <si>
    <t>% испол. кассового плана</t>
  </si>
  <si>
    <t>Подпрограмма "Профилактика правонарушений"</t>
  </si>
  <si>
    <t>Департамент жилищно-коммунального хозяйства администрации города Нефтеюганска</t>
  </si>
  <si>
    <t>Комитет физической культуры и спорта администрации города Нефтеюганска</t>
  </si>
  <si>
    <t>Подпрограмма "Организация бюджетного процесса в городе Нефтеюганске"</t>
  </si>
  <si>
    <t>Департамент финансов администрации города Нефтеюганска</t>
  </si>
  <si>
    <t>Подпрограмма "Совершенствование муниципального управления"</t>
  </si>
  <si>
    <t>Подпрограмма "Развитие малого  и среднего предпринимательства"</t>
  </si>
  <si>
    <t>Подпрограмма "Обеспечение первичных мер пожарной безопасности в городе Нефтеюганске"</t>
  </si>
  <si>
    <t>Подпрограмма "Транспорт"</t>
  </si>
  <si>
    <t>Подпрограмма "Автомобильные дороги"</t>
  </si>
  <si>
    <t>Подпрограмма "Создание условий для обеспечения качественными коммунальными услугами"</t>
  </si>
  <si>
    <t>Подпрограмма "Создание условий для обеспечения доступности и повышения качества жилищных услуг"</t>
  </si>
  <si>
    <t>Подпрограмма "Повышение энергоэффективности в отраслях экономики"</t>
  </si>
  <si>
    <t>Подпрограмма "Обеспечение реализации муниципальной программы"</t>
  </si>
  <si>
    <t>Итого по муниципальным программам</t>
  </si>
  <si>
    <t>% испол. бюджетн. росписи</t>
  </si>
  <si>
    <t>Администрация города Нефтеюганска</t>
  </si>
  <si>
    <t>Подпрограмма "Организация и обеспечение мероприятий по гражданской обороне, защите населения и территорий города Нефтеюганска от чрезвычайных ситуаций"</t>
  </si>
  <si>
    <t>Подпрограмма "Исполнение отдельных государственных полномочий"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</si>
  <si>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</si>
  <si>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Департамент образования и молодёжной политики администрации города Нефтеюганска</t>
  </si>
  <si>
    <t>Подпрограмма "Молодёжь Нефтеюганска"</t>
  </si>
  <si>
    <t>Департамент градостроительства и земельных отношений администрации города Нефтеюганска</t>
  </si>
  <si>
    <t>Комитет культуры и туризма администрации города Нефтеюганска</t>
  </si>
  <si>
    <t>Департамент муниципального имущества администрации города Нефтеюганска</t>
  </si>
  <si>
    <t>Подпрограмма "Формирование комфортной городской среды"</t>
  </si>
  <si>
    <t>Муниципальная программа города Нефтеюганска "Развитие образования и молодёжной политики в городе Нефтеюганске"</t>
  </si>
  <si>
    <t>Муниципальная программа города Нефтеюганска "Дополнительные меры социальной поддержки отдельных категорий граждан города Нефтеюганска"</t>
  </si>
  <si>
    <t>Муниципальная программа города Нефтеюганска "Доступная среда в городе Нефтеюганске"</t>
  </si>
  <si>
    <t>Муниципальная программа города Нефтеюганска "Развитие физической культуры и спорта в городе Нефтеюганске"</t>
  </si>
  <si>
    <t>Муниципальная программа города Нефтеюганска "Развитие жилищной сферы города Нефтеюганска"</t>
  </si>
  <si>
    <t>Муниципальная программа города Нефтеюганска «Социально-экономическое развитие города Нефтеюганска»</t>
  </si>
  <si>
    <t>Муниципальная программа города Нефтеюганска «Развитие транспортной системы в городе Нефтеюганске»</t>
  </si>
  <si>
    <t>Муниципальная программа  "Управление муниципальными финансами города Нефтеюганска"</t>
  </si>
  <si>
    <t>Муниципальная программа города Нефтеюганска "Управление муниципальным имуществом города Нефтеюганска"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</si>
  <si>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</si>
  <si>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Муниципальная программа города Нефтеюганска "Поддержка социально ориентированных некоммерческих организаций, осуществляющих деятельность в городе Нефтеюганске"</t>
  </si>
  <si>
    <t>Подпрограмма "Общее образование. Дополнительное образование детей"</t>
  </si>
  <si>
    <t>Подпрограмма "Система оценки качества образования и информационная прозрачность системы образования"</t>
  </si>
  <si>
    <t>Подпрограмма "Отдых и оздоровление детей в каникулярное время"</t>
  </si>
  <si>
    <t>Подпрограмма "Формирование законопослушного поведения участников дорожного движения"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</si>
  <si>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</si>
  <si>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Подпрограмма "Исполнение органом местного самоуправления отдельных государственных полномочий"</t>
  </si>
  <si>
    <t>Подпрограмма "Организационные, экономические механизмы развития культуры"</t>
  </si>
  <si>
    <t>Подпрограмма "Развитие материально-технической базы и спортивной инфраструктуры"</t>
  </si>
  <si>
    <t>Подпрограмма "Организация деятельности в сфере физической культуры и спорта"</t>
  </si>
  <si>
    <t>Подпрограмма "Стимулирование развития жилищного строительства"</t>
  </si>
  <si>
    <t>Подпрограмма "Переселение граждан из непригодного для проживания жилищного фонда"</t>
  </si>
  <si>
    <t xml:space="preserve">Подпрограмма "Обеспечение мерами государственной поддержки по улучшению жилищных условий отдельных категорий граждан" </t>
  </si>
  <si>
    <t xml:space="preserve">Муниципальная программа города Нефтеюганска «Развитие жилищно-коммунального комплекса и повышение энергетической эффективности в городе Нефтеюганске» 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</si>
  <si>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</si>
  <si>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Подпрограмма "Безопасность дорожного движения"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</si>
  <si>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</si>
  <si>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 xml:space="preserve">Муниципальная программа города Нефтеюганска "Защита населения и территории от чрезвычайных ситуаций, обеспечение первичных мер пожарной безопасности в городе Нефтеюганске"
</t>
  </si>
  <si>
    <t>Подпрограмма "Развитие системы массовой физической культуры, подготовки спортивного резерва и спорта высших достижений"</t>
  </si>
  <si>
    <t>Муниципальная программа "Развитие культуры и туризма в городе Нефтеюганске"</t>
  </si>
  <si>
    <t>Подпрограмма "Ресурсное обеспечение в сфере образования и молодёжной политики"</t>
  </si>
  <si>
    <t>Первоначальный план на 2020 год, руб.</t>
  </si>
  <si>
    <t>Бюджетная роспись                          на 2020 год, руб.</t>
  </si>
  <si>
    <t>Подпрограмма "Модернизация и развитие учреждений культуры и организация обустройства мест массового отдыха населения"</t>
  </si>
  <si>
    <t xml:space="preserve">Муниципальная  программа «Профилактика правонарушений в сфере общественного  порядка, профилактика незаконного оборота и потребления наркотических средств и психотропных веществ в городе Нефтеюганске»
</t>
  </si>
  <si>
    <t>Подпрограмма "Профилактика незаконного оборота потребления наркотических средств и психотропных веществ"</t>
  </si>
  <si>
    <t>Подпрограмма "Управление муниципальным долгом города Нефтеюганска"</t>
  </si>
  <si>
    <t>Муниципальная программа "Профилактика терроризма в городе Нефтеюганске"</t>
  </si>
  <si>
    <t>4.  Исполнение по муниципальным программам за 1 полугодие 2020 года</t>
  </si>
  <si>
    <t>Отклонение                   (гр.5-гр.4), руб.</t>
  </si>
  <si>
    <t>Подпрограмма "Обустройство, использование, защита и охрана городских лесов"</t>
  </si>
  <si>
    <t>Кассовый план за 1 полугодие руб.</t>
  </si>
  <si>
    <t>Наименование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</si>
</sst>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(* #,##0.00_);_(* \-#,##0.00;_(* &quot;&quot;??_);_(@_)"/>
    <numFmt numFmtId="166" formatCode="#,##0.00_р_."/>
    <numFmt numFmtId="167" formatCode="#,##0.00_ ;\-#,##0.00\ 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1" fillId="0" borderId="0"/>
  </cellStyleXfs>
  <cellXfs count="46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8" fillId="0" borderId="0" xfId="0" applyFont="1" applyFill="1"/>
    <xf numFmtId="4" fontId="8" fillId="0" borderId="0" xfId="0" applyNumberFormat="1" applyFont="1" applyFill="1"/>
    <xf numFmtId="167" fontId="6" fillId="0" borderId="0" xfId="0" applyNumberFormat="1" applyFont="1" applyFill="1"/>
    <xf numFmtId="0" fontId="7" fillId="0" borderId="0" xfId="0" applyFont="1" applyFill="1"/>
    <xf numFmtId="167" fontId="7" fillId="0" borderId="0" xfId="0" applyNumberFormat="1" applyFont="1" applyFill="1"/>
    <xf numFmtId="0" fontId="9" fillId="0" borderId="0" xfId="2" applyNumberFormat="1" applyFont="1" applyFill="1" applyAlignment="1" applyProtection="1">
      <alignment horizontal="center" vertical="center" wrapText="1"/>
    </xf>
    <xf numFmtId="0" fontId="10" fillId="0" borderId="0" xfId="2" applyNumberFormat="1" applyFont="1" applyFill="1" applyAlignment="1" applyProtection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5" fontId="9" fillId="0" borderId="1" xfId="4" applyNumberFormat="1" applyFont="1" applyFill="1" applyBorder="1" applyAlignment="1">
      <alignment horizontal="center" vertical="center" wrapText="1"/>
    </xf>
    <xf numFmtId="165" fontId="10" fillId="0" borderId="1" xfId="4" applyNumberFormat="1" applyFont="1" applyFill="1" applyBorder="1" applyAlignment="1">
      <alignment horizontal="center" vertical="center" wrapText="1"/>
    </xf>
    <xf numFmtId="4" fontId="9" fillId="0" borderId="1" xfId="3" applyNumberFormat="1" applyFont="1" applyFill="1" applyBorder="1" applyAlignment="1">
      <alignment horizontal="center" vertical="center" wrapText="1"/>
    </xf>
    <xf numFmtId="164" fontId="9" fillId="0" borderId="1" xfId="3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center" vertical="center" wrapText="1"/>
    </xf>
    <xf numFmtId="1" fontId="9" fillId="0" borderId="1" xfId="4" applyNumberFormat="1" applyFont="1" applyFill="1" applyBorder="1" applyAlignment="1">
      <alignment horizontal="center" vertical="center" wrapText="1"/>
    </xf>
    <xf numFmtId="1" fontId="10" fillId="0" borderId="1" xfId="4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39" fontId="12" fillId="0" borderId="1" xfId="0" applyNumberFormat="1" applyFont="1" applyFill="1" applyBorder="1" applyAlignment="1">
      <alignment vertical="center" wrapText="1"/>
    </xf>
    <xf numFmtId="39" fontId="13" fillId="0" borderId="1" xfId="0" applyNumberFormat="1" applyFont="1" applyFill="1" applyBorder="1" applyAlignment="1">
      <alignment vertical="center" wrapText="1"/>
    </xf>
    <xf numFmtId="166" fontId="11" fillId="0" borderId="1" xfId="0" applyNumberFormat="1" applyFont="1" applyFill="1" applyBorder="1" applyAlignment="1">
      <alignment horizontal="center" vertical="center"/>
    </xf>
    <xf numFmtId="166" fontId="14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 wrapText="1"/>
    </xf>
    <xf numFmtId="39" fontId="15" fillId="0" borderId="1" xfId="0" applyNumberFormat="1" applyFont="1" applyFill="1" applyBorder="1" applyAlignment="1">
      <alignment vertical="center" wrapText="1"/>
    </xf>
    <xf numFmtId="39" fontId="16" fillId="0" borderId="1" xfId="0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39" fontId="9" fillId="0" borderId="1" xfId="0" applyNumberFormat="1" applyFont="1" applyFill="1" applyBorder="1" applyAlignment="1">
      <alignment vertical="center" wrapText="1"/>
    </xf>
    <xf numFmtId="39" fontId="10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3" fontId="9" fillId="0" borderId="1" xfId="0" applyNumberFormat="1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top" wrapText="1"/>
    </xf>
    <xf numFmtId="39" fontId="17" fillId="0" borderId="1" xfId="0" applyNumberFormat="1" applyFont="1" applyFill="1" applyBorder="1" applyAlignment="1">
      <alignment vertical="center" wrapText="1"/>
    </xf>
    <xf numFmtId="39" fontId="18" fillId="0" borderId="1" xfId="0" applyNumberFormat="1" applyFont="1" applyFill="1" applyBorder="1" applyAlignment="1">
      <alignment vertical="center" wrapText="1"/>
    </xf>
    <xf numFmtId="3" fontId="12" fillId="0" borderId="1" xfId="0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39" fontId="14" fillId="0" borderId="1" xfId="0" applyNumberFormat="1" applyFont="1" applyFill="1" applyBorder="1" applyAlignment="1">
      <alignment vertical="center" wrapText="1"/>
    </xf>
    <xf numFmtId="2" fontId="7" fillId="0" borderId="0" xfId="0" applyNumberFormat="1" applyFont="1" applyFill="1"/>
    <xf numFmtId="0" fontId="0" fillId="0" borderId="0" xfId="0" applyFont="1" applyFill="1"/>
    <xf numFmtId="167" fontId="5" fillId="0" borderId="0" xfId="0" applyNumberFormat="1" applyFont="1" applyFill="1"/>
    <xf numFmtId="2" fontId="0" fillId="0" borderId="0" xfId="0" applyNumberFormat="1" applyFont="1" applyFill="1"/>
    <xf numFmtId="166" fontId="19" fillId="0" borderId="1" xfId="0" applyNumberFormat="1" applyFont="1" applyFill="1" applyBorder="1" applyAlignment="1">
      <alignment horizontal="center" vertical="center"/>
    </xf>
    <xf numFmtId="0" fontId="9" fillId="0" borderId="0" xfId="2" applyNumberFormat="1" applyFont="1" applyFill="1" applyAlignment="1" applyProtection="1">
      <alignment horizontal="center" vertical="center" wrapText="1"/>
    </xf>
  </cellXfs>
  <cellStyles count="5">
    <cellStyle name="Обычный" xfId="0" builtinId="0"/>
    <cellStyle name="Обычный 2" xfId="1"/>
    <cellStyle name="Обычный_Tmp8" xfId="2"/>
    <cellStyle name="Обычный_приложения 10" xfId="3"/>
    <cellStyle name="Обычный_расходы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3200400</xdr:colOff>
      <xdr:row>1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3200400" y="20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8"/>
  <sheetViews>
    <sheetView tabSelected="1" view="pageBreakPreview" zoomScale="60" zoomScaleNormal="100" workbookViewId="0">
      <pane xSplit="1" ySplit="3" topLeftCell="B75" activePane="bottomRight" state="frozen"/>
      <selection pane="topRight" activeCell="C1" sqref="C1"/>
      <selection pane="bottomLeft" activeCell="A4" sqref="A4"/>
      <selection pane="bottomRight" activeCell="J95" sqref="J95"/>
    </sheetView>
  </sheetViews>
  <sheetFormatPr defaultColWidth="9.140625" defaultRowHeight="15" x14ac:dyDescent="0.25"/>
  <cols>
    <col min="1" max="1" width="72.28515625" style="7" customWidth="1"/>
    <col min="2" max="2" width="19.7109375" style="7" customWidth="1"/>
    <col min="3" max="3" width="19.5703125" style="4" customWidth="1"/>
    <col min="4" max="4" width="20.140625" style="7" customWidth="1"/>
    <col min="5" max="5" width="19.28515625" style="4" customWidth="1"/>
    <col min="6" max="6" width="18.42578125" style="7" customWidth="1"/>
    <col min="7" max="7" width="10.85546875" style="7" customWidth="1"/>
    <col min="8" max="8" width="11.5703125" style="41" customWidth="1"/>
    <col min="9" max="9" width="26.140625" style="7" customWidth="1"/>
    <col min="10" max="10" width="17.5703125" style="7" customWidth="1"/>
    <col min="11" max="16384" width="9.140625" style="7"/>
  </cols>
  <sheetData>
    <row r="1" spans="1:10" x14ac:dyDescent="0.25">
      <c r="A1" s="45" t="s">
        <v>66</v>
      </c>
      <c r="B1" s="45"/>
      <c r="C1" s="45"/>
      <c r="D1" s="45"/>
      <c r="E1" s="45"/>
      <c r="F1" s="45"/>
      <c r="G1" s="45"/>
    </row>
    <row r="2" spans="1:10" x14ac:dyDescent="0.25">
      <c r="A2" s="9"/>
      <c r="B2" s="9"/>
      <c r="C2" s="9"/>
      <c r="D2" s="10"/>
      <c r="E2" s="9"/>
      <c r="F2" s="9"/>
      <c r="G2" s="9"/>
      <c r="H2" s="9"/>
    </row>
    <row r="3" spans="1:10" ht="75" x14ac:dyDescent="0.25">
      <c r="A3" s="11" t="s">
        <v>70</v>
      </c>
      <c r="B3" s="12" t="s">
        <v>59</v>
      </c>
      <c r="C3" s="12" t="s">
        <v>60</v>
      </c>
      <c r="D3" s="13" t="s">
        <v>69</v>
      </c>
      <c r="E3" s="14" t="s">
        <v>0</v>
      </c>
      <c r="F3" s="15" t="s">
        <v>67</v>
      </c>
      <c r="G3" s="16" t="s">
        <v>1</v>
      </c>
      <c r="H3" s="16" t="s">
        <v>17</v>
      </c>
    </row>
    <row r="4" spans="1:10" x14ac:dyDescent="0.25">
      <c r="A4" s="17">
        <v>1</v>
      </c>
      <c r="B4" s="18">
        <v>2</v>
      </c>
      <c r="C4" s="18">
        <v>3</v>
      </c>
      <c r="D4" s="19">
        <v>4</v>
      </c>
      <c r="E4" s="18">
        <v>5</v>
      </c>
      <c r="F4" s="18">
        <v>6</v>
      </c>
      <c r="G4" s="18">
        <v>7</v>
      </c>
      <c r="H4" s="18">
        <v>8</v>
      </c>
    </row>
    <row r="5" spans="1:10" s="1" customFormat="1" ht="28.5" x14ac:dyDescent="0.25">
      <c r="A5" s="20" t="s">
        <v>28</v>
      </c>
      <c r="B5" s="21">
        <f>B6+B10+B12+B14+B16+B19</f>
        <v>4493365982</v>
      </c>
      <c r="C5" s="21">
        <f>C6+C10+C12+C14+C16+C19</f>
        <v>4623716380</v>
      </c>
      <c r="D5" s="22">
        <f>D6+D10+D12+D14+D16+D19</f>
        <v>2345308286.1800003</v>
      </c>
      <c r="E5" s="21">
        <f>E6+E10+E12+E14+E16+E19</f>
        <v>2040749637.1899998</v>
      </c>
      <c r="F5" s="21">
        <f>E5-D5</f>
        <v>-304558648.99000049</v>
      </c>
      <c r="G5" s="24">
        <f>(E5/D5)*100</f>
        <v>87.014131541484446</v>
      </c>
      <c r="H5" s="24">
        <f>(E5/C5)*100</f>
        <v>44.136566118486705</v>
      </c>
    </row>
    <row r="6" spans="1:10" s="3" customFormat="1" ht="30" x14ac:dyDescent="0.25">
      <c r="A6" s="25" t="s">
        <v>39</v>
      </c>
      <c r="B6" s="26">
        <f t="shared" ref="B6:D6" si="0">SUM(B7:B9)</f>
        <v>4239705760</v>
      </c>
      <c r="C6" s="26">
        <f t="shared" ref="C6" si="1">SUM(C7:C9)</f>
        <v>4364418949</v>
      </c>
      <c r="D6" s="27">
        <f t="shared" si="0"/>
        <v>2209895565.1800003</v>
      </c>
      <c r="E6" s="26">
        <f>SUM(E7:E9)</f>
        <v>1957442412.0299997</v>
      </c>
      <c r="F6" s="26">
        <f>E6-D6</f>
        <v>-252453153.15000057</v>
      </c>
      <c r="G6" s="24">
        <f t="shared" ref="G6:G69" si="2">(E6/D6)*100</f>
        <v>88.576240564135531</v>
      </c>
      <c r="H6" s="24">
        <f t="shared" ref="H6:H69" si="3">(E6/C6)*100</f>
        <v>44.850011763387194</v>
      </c>
      <c r="J6" s="42"/>
    </row>
    <row r="7" spans="1:10" s="41" customFormat="1" ht="30" x14ac:dyDescent="0.25">
      <c r="A7" s="28" t="s">
        <v>22</v>
      </c>
      <c r="B7" s="29">
        <v>4156698880</v>
      </c>
      <c r="C7" s="29">
        <v>4208737894</v>
      </c>
      <c r="D7" s="30">
        <f>287917496.18+290000+11169000+64019781+46359700+490323630+69195800+1123679074+15444600+72700+1925000+2051120+70675254</f>
        <v>2183123155.1800003</v>
      </c>
      <c r="E7" s="29">
        <v>1945533300.4199998</v>
      </c>
      <c r="F7" s="29">
        <f>E7-D7</f>
        <v>-237589854.76000047</v>
      </c>
      <c r="G7" s="23">
        <f t="shared" si="2"/>
        <v>89.116974267060485</v>
      </c>
      <c r="H7" s="23">
        <f t="shared" si="3"/>
        <v>46.226050407975343</v>
      </c>
    </row>
    <row r="8" spans="1:10" s="41" customFormat="1" ht="30" x14ac:dyDescent="0.25">
      <c r="A8" s="28" t="s">
        <v>24</v>
      </c>
      <c r="B8" s="29">
        <v>83006880</v>
      </c>
      <c r="C8" s="29">
        <v>152055912</v>
      </c>
      <c r="D8" s="30">
        <f>9191698+13955569</f>
        <v>23147267</v>
      </c>
      <c r="E8" s="29">
        <v>11909111.609999999</v>
      </c>
      <c r="F8" s="29">
        <f t="shared" ref="F8:F74" si="4">E8-D8</f>
        <v>-11238155.390000001</v>
      </c>
      <c r="G8" s="23">
        <f t="shared" si="2"/>
        <v>51.449320604458407</v>
      </c>
      <c r="H8" s="23">
        <f t="shared" si="3"/>
        <v>7.8320608869190167</v>
      </c>
    </row>
    <row r="9" spans="1:10" s="41" customFormat="1" ht="30" x14ac:dyDescent="0.25">
      <c r="A9" s="28" t="s">
        <v>3</v>
      </c>
      <c r="B9" s="29">
        <v>0</v>
      </c>
      <c r="C9" s="29">
        <v>3625143</v>
      </c>
      <c r="D9" s="30">
        <v>3625143</v>
      </c>
      <c r="E9" s="29">
        <v>0</v>
      </c>
      <c r="F9" s="29">
        <f t="shared" si="4"/>
        <v>-3625143</v>
      </c>
      <c r="G9" s="23">
        <f t="shared" si="2"/>
        <v>0</v>
      </c>
      <c r="H9" s="23">
        <f t="shared" si="3"/>
        <v>0</v>
      </c>
    </row>
    <row r="10" spans="1:10" s="3" customFormat="1" ht="30" x14ac:dyDescent="0.25">
      <c r="A10" s="25" t="s">
        <v>40</v>
      </c>
      <c r="B10" s="26">
        <f t="shared" ref="B10:D10" si="5">B11</f>
        <v>3192800</v>
      </c>
      <c r="C10" s="26">
        <f t="shared" si="5"/>
        <v>3673526</v>
      </c>
      <c r="D10" s="27">
        <f t="shared" si="5"/>
        <v>3673526</v>
      </c>
      <c r="E10" s="26">
        <f>E11</f>
        <v>1139372.99</v>
      </c>
      <c r="F10" s="26">
        <f t="shared" si="4"/>
        <v>-2534153.0099999998</v>
      </c>
      <c r="G10" s="24">
        <f t="shared" si="2"/>
        <v>31.015786740042127</v>
      </c>
      <c r="H10" s="24">
        <f t="shared" si="3"/>
        <v>31.015786740042127</v>
      </c>
    </row>
    <row r="11" spans="1:10" s="41" customFormat="1" ht="30" x14ac:dyDescent="0.25">
      <c r="A11" s="28" t="s">
        <v>22</v>
      </c>
      <c r="B11" s="29">
        <v>3192800</v>
      </c>
      <c r="C11" s="29">
        <v>3673526</v>
      </c>
      <c r="D11" s="30">
        <f>2980326+693200</f>
        <v>3673526</v>
      </c>
      <c r="E11" s="29">
        <v>1139372.99</v>
      </c>
      <c r="F11" s="29">
        <f t="shared" si="4"/>
        <v>-2534153.0099999998</v>
      </c>
      <c r="G11" s="23">
        <f t="shared" si="2"/>
        <v>31.015786740042127</v>
      </c>
      <c r="H11" s="23">
        <f t="shared" si="3"/>
        <v>31.015786740042127</v>
      </c>
    </row>
    <row r="12" spans="1:10" s="3" customFormat="1" x14ac:dyDescent="0.25">
      <c r="A12" s="25" t="s">
        <v>41</v>
      </c>
      <c r="B12" s="26">
        <f t="shared" ref="B12:D12" si="6">B13</f>
        <v>57995422</v>
      </c>
      <c r="C12" s="26">
        <f t="shared" si="6"/>
        <v>58783398</v>
      </c>
      <c r="D12" s="27">
        <f t="shared" si="6"/>
        <v>22861209</v>
      </c>
      <c r="E12" s="26">
        <f>E13</f>
        <v>333111.09999999998</v>
      </c>
      <c r="F12" s="26">
        <f t="shared" si="4"/>
        <v>-22528097.899999999</v>
      </c>
      <c r="G12" s="24">
        <f t="shared" si="2"/>
        <v>1.4571018531872044</v>
      </c>
      <c r="H12" s="24">
        <f t="shared" si="3"/>
        <v>0.56667547527619955</v>
      </c>
    </row>
    <row r="13" spans="1:10" ht="30" x14ac:dyDescent="0.25">
      <c r="A13" s="28" t="s">
        <v>22</v>
      </c>
      <c r="B13" s="29">
        <v>57995422</v>
      </c>
      <c r="C13" s="29">
        <v>58783398</v>
      </c>
      <c r="D13" s="30">
        <f>4398482+2187867+15337200+937660</f>
        <v>22861209</v>
      </c>
      <c r="E13" s="29">
        <v>333111.09999999998</v>
      </c>
      <c r="F13" s="29">
        <f t="shared" si="4"/>
        <v>-22528097.899999999</v>
      </c>
      <c r="G13" s="23">
        <f t="shared" si="2"/>
        <v>1.4571018531872044</v>
      </c>
      <c r="H13" s="23">
        <f t="shared" si="3"/>
        <v>0.56667547527619955</v>
      </c>
    </row>
    <row r="14" spans="1:10" s="3" customFormat="1" x14ac:dyDescent="0.25">
      <c r="A14" s="25" t="s">
        <v>23</v>
      </c>
      <c r="B14" s="26">
        <f t="shared" ref="B14:D14" si="7">B15</f>
        <v>66517800</v>
      </c>
      <c r="C14" s="26">
        <f t="shared" si="7"/>
        <v>70322201</v>
      </c>
      <c r="D14" s="27">
        <f t="shared" si="7"/>
        <v>34729444</v>
      </c>
      <c r="E14" s="26">
        <f>E15</f>
        <v>21348761.690000001</v>
      </c>
      <c r="F14" s="26">
        <f t="shared" si="4"/>
        <v>-13380682.309999999</v>
      </c>
      <c r="G14" s="24">
        <f t="shared" si="2"/>
        <v>61.47164835118005</v>
      </c>
      <c r="H14" s="24">
        <f t="shared" si="3"/>
        <v>30.358494737671819</v>
      </c>
    </row>
    <row r="15" spans="1:10" ht="30" x14ac:dyDescent="0.25">
      <c r="A15" s="28" t="s">
        <v>22</v>
      </c>
      <c r="B15" s="29">
        <v>66517800</v>
      </c>
      <c r="C15" s="29">
        <v>70322201</v>
      </c>
      <c r="D15" s="30">
        <f>20459854+9040700+1631850+150000+3435040+12000</f>
        <v>34729444</v>
      </c>
      <c r="E15" s="29">
        <v>21348761.690000001</v>
      </c>
      <c r="F15" s="29">
        <f t="shared" si="4"/>
        <v>-13380682.309999999</v>
      </c>
      <c r="G15" s="23">
        <f t="shared" si="2"/>
        <v>61.47164835118005</v>
      </c>
      <c r="H15" s="23">
        <f t="shared" si="3"/>
        <v>30.358494737671819</v>
      </c>
    </row>
    <row r="16" spans="1:10" s="3" customFormat="1" ht="30" x14ac:dyDescent="0.25">
      <c r="A16" s="25" t="s">
        <v>58</v>
      </c>
      <c r="B16" s="26">
        <f t="shared" ref="B16:D16" si="8">SUM(B17)</f>
        <v>125924200</v>
      </c>
      <c r="C16" s="26">
        <f>SUM(C17:C18)</f>
        <v>126488306</v>
      </c>
      <c r="D16" s="27">
        <f t="shared" si="8"/>
        <v>74118542</v>
      </c>
      <c r="E16" s="26">
        <f>SUM(E17)</f>
        <v>60485979.380000003</v>
      </c>
      <c r="F16" s="26">
        <f t="shared" si="4"/>
        <v>-13632562.619999997</v>
      </c>
      <c r="G16" s="24">
        <f t="shared" si="2"/>
        <v>81.607082044328394</v>
      </c>
      <c r="H16" s="24">
        <f t="shared" si="3"/>
        <v>47.819424018533383</v>
      </c>
    </row>
    <row r="17" spans="1:8" ht="30" x14ac:dyDescent="0.25">
      <c r="A17" s="28" t="s">
        <v>22</v>
      </c>
      <c r="B17" s="29">
        <v>125924200</v>
      </c>
      <c r="C17" s="29">
        <v>125978670</v>
      </c>
      <c r="D17" s="30">
        <f>28720283+336792+44551831+509636</f>
        <v>74118542</v>
      </c>
      <c r="E17" s="29">
        <v>60485979.380000003</v>
      </c>
      <c r="F17" s="29">
        <f t="shared" si="4"/>
        <v>-13632562.619999997</v>
      </c>
      <c r="G17" s="23">
        <f t="shared" si="2"/>
        <v>81.607082044328394</v>
      </c>
      <c r="H17" s="23">
        <f t="shared" si="3"/>
        <v>48.012873433256601</v>
      </c>
    </row>
    <row r="18" spans="1:8" ht="30" x14ac:dyDescent="0.25">
      <c r="A18" s="28" t="s">
        <v>24</v>
      </c>
      <c r="B18" s="29"/>
      <c r="C18" s="29">
        <v>509636</v>
      </c>
      <c r="D18" s="30">
        <v>0</v>
      </c>
      <c r="E18" s="29">
        <v>0</v>
      </c>
      <c r="F18" s="29">
        <f t="shared" ref="F18" si="9">E18-D18</f>
        <v>0</v>
      </c>
      <c r="G18" s="23">
        <v>0</v>
      </c>
      <c r="H18" s="23">
        <f t="shared" ref="H18" si="10">(E18/C18)*100</f>
        <v>0</v>
      </c>
    </row>
    <row r="19" spans="1:8" s="3" customFormat="1" ht="30" x14ac:dyDescent="0.25">
      <c r="A19" s="25" t="s">
        <v>42</v>
      </c>
      <c r="B19" s="26">
        <f>B20</f>
        <v>30000</v>
      </c>
      <c r="C19" s="26">
        <f>C20</f>
        <v>30000</v>
      </c>
      <c r="D19" s="27">
        <f t="shared" ref="D19:E19" si="11">D20</f>
        <v>30000</v>
      </c>
      <c r="E19" s="26">
        <f t="shared" si="11"/>
        <v>0</v>
      </c>
      <c r="F19" s="26">
        <f t="shared" si="4"/>
        <v>-30000</v>
      </c>
      <c r="G19" s="24">
        <f t="shared" si="2"/>
        <v>0</v>
      </c>
      <c r="H19" s="24">
        <f t="shared" si="3"/>
        <v>0</v>
      </c>
    </row>
    <row r="20" spans="1:8" ht="30" x14ac:dyDescent="0.25">
      <c r="A20" s="28" t="s">
        <v>22</v>
      </c>
      <c r="B20" s="29">
        <v>30000</v>
      </c>
      <c r="C20" s="29">
        <v>30000</v>
      </c>
      <c r="D20" s="30">
        <v>30000</v>
      </c>
      <c r="E20" s="29">
        <v>0</v>
      </c>
      <c r="F20" s="29">
        <f t="shared" si="4"/>
        <v>-30000</v>
      </c>
      <c r="G20" s="23">
        <f t="shared" si="2"/>
        <v>0</v>
      </c>
      <c r="H20" s="23">
        <f t="shared" si="3"/>
        <v>0</v>
      </c>
    </row>
    <row r="21" spans="1:8" s="1" customFormat="1" ht="42.75" x14ac:dyDescent="0.25">
      <c r="A21" s="20" t="s">
        <v>29</v>
      </c>
      <c r="B21" s="21">
        <f>B26+B22</f>
        <v>101323300</v>
      </c>
      <c r="C21" s="21">
        <f>C26+C22</f>
        <v>197495311</v>
      </c>
      <c r="D21" s="22">
        <f>D26+D22</f>
        <v>28749840</v>
      </c>
      <c r="E21" s="21">
        <f>E26+E22</f>
        <v>22874328.640000001</v>
      </c>
      <c r="F21" s="21">
        <f t="shared" si="4"/>
        <v>-5875511.3599999994</v>
      </c>
      <c r="G21" s="24">
        <f t="shared" si="2"/>
        <v>79.563325013287027</v>
      </c>
      <c r="H21" s="24">
        <f t="shared" si="3"/>
        <v>11.582213534173476</v>
      </c>
    </row>
    <row r="22" spans="1:8" s="3" customFormat="1" ht="45" x14ac:dyDescent="0.25">
      <c r="A22" s="25" t="s">
        <v>43</v>
      </c>
      <c r="B22" s="26">
        <f>B24+B25+B23</f>
        <v>63264200</v>
      </c>
      <c r="C22" s="26">
        <f>C24+C25+C23</f>
        <v>159436211</v>
      </c>
      <c r="D22" s="27">
        <f>SUM(D23:D25)</f>
        <v>11255000</v>
      </c>
      <c r="E22" s="26">
        <f>SUM(E23:E25)</f>
        <v>8746471.0399999991</v>
      </c>
      <c r="F22" s="26">
        <f t="shared" si="4"/>
        <v>-2508528.9600000009</v>
      </c>
      <c r="G22" s="24">
        <f t="shared" si="2"/>
        <v>77.7118706352732</v>
      </c>
      <c r="H22" s="24">
        <f t="shared" si="3"/>
        <v>5.4858748744348915</v>
      </c>
    </row>
    <row r="23" spans="1:8" x14ac:dyDescent="0.25">
      <c r="A23" s="28" t="s">
        <v>18</v>
      </c>
      <c r="B23" s="29">
        <v>22752800</v>
      </c>
      <c r="C23" s="29">
        <v>22752800</v>
      </c>
      <c r="D23" s="30">
        <v>11255000</v>
      </c>
      <c r="E23" s="29">
        <v>8746471.0399999991</v>
      </c>
      <c r="F23" s="29">
        <f t="shared" si="4"/>
        <v>-2508528.9600000009</v>
      </c>
      <c r="G23" s="23">
        <f t="shared" si="2"/>
        <v>77.7118706352732</v>
      </c>
      <c r="H23" s="23">
        <f t="shared" si="3"/>
        <v>38.44129531310432</v>
      </c>
    </row>
    <row r="24" spans="1:8" ht="30" x14ac:dyDescent="0.25">
      <c r="A24" s="28" t="s">
        <v>26</v>
      </c>
      <c r="B24" s="29">
        <v>39821800</v>
      </c>
      <c r="C24" s="29">
        <v>135993811</v>
      </c>
      <c r="D24" s="30">
        <v>0</v>
      </c>
      <c r="E24" s="29">
        <v>0</v>
      </c>
      <c r="F24" s="29">
        <f t="shared" si="4"/>
        <v>0</v>
      </c>
      <c r="G24" s="23">
        <v>0</v>
      </c>
      <c r="H24" s="23">
        <f t="shared" ref="H24:H25" si="12">(E24/C24)*100</f>
        <v>0</v>
      </c>
    </row>
    <row r="25" spans="1:8" ht="30" x14ac:dyDescent="0.25">
      <c r="A25" s="28" t="s">
        <v>3</v>
      </c>
      <c r="B25" s="29">
        <v>689600</v>
      </c>
      <c r="C25" s="29">
        <v>689600</v>
      </c>
      <c r="D25" s="30">
        <v>0</v>
      </c>
      <c r="E25" s="29">
        <v>0</v>
      </c>
      <c r="F25" s="29">
        <f t="shared" si="4"/>
        <v>0</v>
      </c>
      <c r="G25" s="23">
        <v>0</v>
      </c>
      <c r="H25" s="23">
        <f t="shared" si="12"/>
        <v>0</v>
      </c>
    </row>
    <row r="26" spans="1:8" s="3" customFormat="1" ht="30" x14ac:dyDescent="0.25">
      <c r="A26" s="25" t="s">
        <v>44</v>
      </c>
      <c r="B26" s="26">
        <f>B27</f>
        <v>38059100</v>
      </c>
      <c r="C26" s="26">
        <f>C27</f>
        <v>38059100</v>
      </c>
      <c r="D26" s="27">
        <f>SUM(D27:D27)</f>
        <v>17494840</v>
      </c>
      <c r="E26" s="26">
        <f>SUM(E27:E27)</f>
        <v>14127857.600000001</v>
      </c>
      <c r="F26" s="26">
        <f t="shared" si="4"/>
        <v>-3366982.3999999985</v>
      </c>
      <c r="G26" s="24">
        <f t="shared" si="2"/>
        <v>80.754425876429863</v>
      </c>
      <c r="H26" s="24">
        <f t="shared" si="3"/>
        <v>37.120839956804026</v>
      </c>
    </row>
    <row r="27" spans="1:8" x14ac:dyDescent="0.25">
      <c r="A27" s="28" t="s">
        <v>18</v>
      </c>
      <c r="B27" s="29">
        <v>38059100</v>
      </c>
      <c r="C27" s="29">
        <v>38059100</v>
      </c>
      <c r="D27" s="30">
        <f>17462510+32330</f>
        <v>17494840</v>
      </c>
      <c r="E27" s="29">
        <v>14127857.600000001</v>
      </c>
      <c r="F27" s="29">
        <f t="shared" si="4"/>
        <v>-3366982.3999999985</v>
      </c>
      <c r="G27" s="23">
        <f t="shared" si="2"/>
        <v>80.754425876429863</v>
      </c>
      <c r="H27" s="23">
        <f t="shared" si="3"/>
        <v>37.120839956804026</v>
      </c>
    </row>
    <row r="28" spans="1:8" s="1" customFormat="1" ht="28.5" x14ac:dyDescent="0.25">
      <c r="A28" s="31" t="s">
        <v>30</v>
      </c>
      <c r="B28" s="21">
        <f>SUM(B29:B35)</f>
        <v>3382446</v>
      </c>
      <c r="C28" s="21">
        <f>SUM(C29:C35)</f>
        <v>5087496</v>
      </c>
      <c r="D28" s="22">
        <f>SUM(D29:D35)</f>
        <v>4843908</v>
      </c>
      <c r="E28" s="21">
        <f>SUM(E29:E35)</f>
        <v>2841732.92</v>
      </c>
      <c r="F28" s="21">
        <f t="shared" si="4"/>
        <v>-2002175.08</v>
      </c>
      <c r="G28" s="24">
        <f t="shared" si="2"/>
        <v>58.666120826407109</v>
      </c>
      <c r="H28" s="24">
        <f t="shared" si="3"/>
        <v>55.857202049888585</v>
      </c>
    </row>
    <row r="29" spans="1:8" x14ac:dyDescent="0.25">
      <c r="A29" s="32" t="s">
        <v>18</v>
      </c>
      <c r="B29" s="29"/>
      <c r="C29" s="29">
        <v>50000</v>
      </c>
      <c r="D29" s="30">
        <v>0</v>
      </c>
      <c r="E29" s="29">
        <v>0</v>
      </c>
      <c r="F29" s="29">
        <f t="shared" ref="F29" si="13">E29-D29</f>
        <v>0</v>
      </c>
      <c r="G29" s="23">
        <v>0</v>
      </c>
      <c r="H29" s="23">
        <f t="shared" ref="H29:H30" si="14">(E29/C29)*100</f>
        <v>0</v>
      </c>
    </row>
    <row r="30" spans="1:8" ht="30" x14ac:dyDescent="0.25">
      <c r="A30" s="28" t="s">
        <v>26</v>
      </c>
      <c r="B30" s="29"/>
      <c r="C30" s="29">
        <v>38396</v>
      </c>
      <c r="D30" s="30">
        <v>0</v>
      </c>
      <c r="E30" s="29">
        <v>0</v>
      </c>
      <c r="F30" s="29">
        <f t="shared" ref="F30" si="15">E30-D30</f>
        <v>0</v>
      </c>
      <c r="G30" s="23">
        <v>0</v>
      </c>
      <c r="H30" s="23">
        <f t="shared" si="14"/>
        <v>0</v>
      </c>
    </row>
    <row r="31" spans="1:8" ht="30" x14ac:dyDescent="0.25">
      <c r="A31" s="28" t="s">
        <v>22</v>
      </c>
      <c r="B31" s="29">
        <v>1699600</v>
      </c>
      <c r="C31" s="29">
        <v>1699600</v>
      </c>
      <c r="D31" s="30">
        <v>1633600</v>
      </c>
      <c r="E31" s="29">
        <v>1182959</v>
      </c>
      <c r="F31" s="29">
        <f t="shared" si="4"/>
        <v>-450641</v>
      </c>
      <c r="G31" s="23">
        <f t="shared" si="2"/>
        <v>72.414238491674837</v>
      </c>
      <c r="H31" s="23">
        <f t="shared" si="3"/>
        <v>69.602200517768892</v>
      </c>
    </row>
    <row r="32" spans="1:8" x14ac:dyDescent="0.25">
      <c r="A32" s="32" t="s">
        <v>25</v>
      </c>
      <c r="B32" s="29">
        <v>1587550</v>
      </c>
      <c r="C32" s="29">
        <v>1684724</v>
      </c>
      <c r="D32" s="30">
        <v>1684724</v>
      </c>
      <c r="E32" s="29">
        <v>1029326</v>
      </c>
      <c r="F32" s="29">
        <f t="shared" si="4"/>
        <v>-655398</v>
      </c>
      <c r="G32" s="23">
        <f t="shared" si="2"/>
        <v>61.097604117944535</v>
      </c>
      <c r="H32" s="23">
        <f t="shared" si="3"/>
        <v>61.097604117944535</v>
      </c>
    </row>
    <row r="33" spans="1:8" ht="30" x14ac:dyDescent="0.25">
      <c r="A33" s="28" t="s">
        <v>4</v>
      </c>
      <c r="B33" s="29">
        <v>95296</v>
      </c>
      <c r="C33" s="29">
        <v>95296</v>
      </c>
      <c r="D33" s="30">
        <v>95296</v>
      </c>
      <c r="E33" s="29">
        <v>70448</v>
      </c>
      <c r="F33" s="29">
        <f t="shared" si="4"/>
        <v>-24848</v>
      </c>
      <c r="G33" s="23">
        <f t="shared" si="2"/>
        <v>73.925453324378779</v>
      </c>
      <c r="H33" s="23">
        <f t="shared" si="3"/>
        <v>73.925453324378779</v>
      </c>
    </row>
    <row r="34" spans="1:8" ht="30" x14ac:dyDescent="0.25">
      <c r="A34" s="28" t="s">
        <v>24</v>
      </c>
      <c r="B34" s="29"/>
      <c r="C34" s="29">
        <v>89192</v>
      </c>
      <c r="D34" s="30">
        <v>0</v>
      </c>
      <c r="E34" s="29">
        <v>0</v>
      </c>
      <c r="F34" s="29">
        <f t="shared" ref="F34" si="16">E34-D34</f>
        <v>0</v>
      </c>
      <c r="G34" s="23">
        <v>0</v>
      </c>
      <c r="H34" s="23">
        <f t="shared" ref="H34" si="17">(E34/C34)*100</f>
        <v>0</v>
      </c>
    </row>
    <row r="35" spans="1:8" ht="30" x14ac:dyDescent="0.25">
      <c r="A35" s="28" t="s">
        <v>3</v>
      </c>
      <c r="B35" s="29">
        <v>0</v>
      </c>
      <c r="C35" s="29">
        <v>1430288</v>
      </c>
      <c r="D35" s="30">
        <v>1430288</v>
      </c>
      <c r="E35" s="29">
        <v>558999.92000000004</v>
      </c>
      <c r="F35" s="29">
        <f t="shared" si="4"/>
        <v>-871288.08</v>
      </c>
      <c r="G35" s="23">
        <f t="shared" si="2"/>
        <v>39.083032228474266</v>
      </c>
      <c r="H35" s="23">
        <f t="shared" si="3"/>
        <v>39.083032228474266</v>
      </c>
    </row>
    <row r="36" spans="1:8" s="1" customFormat="1" ht="28.5" x14ac:dyDescent="0.25">
      <c r="A36" s="20" t="s">
        <v>57</v>
      </c>
      <c r="B36" s="21">
        <f>B37+B41</f>
        <v>636157994</v>
      </c>
      <c r="C36" s="21">
        <f>C37+C41</f>
        <v>659404472.23000002</v>
      </c>
      <c r="D36" s="22">
        <f>D37+D41</f>
        <v>359805734.23000002</v>
      </c>
      <c r="E36" s="21">
        <f>E37+E41</f>
        <v>314635370.49000001</v>
      </c>
      <c r="F36" s="21">
        <f t="shared" si="4"/>
        <v>-45170363.74000001</v>
      </c>
      <c r="G36" s="24">
        <f t="shared" si="2"/>
        <v>87.445902207015521</v>
      </c>
      <c r="H36" s="24">
        <f t="shared" si="3"/>
        <v>47.71507985469885</v>
      </c>
    </row>
    <row r="37" spans="1:8" s="3" customFormat="1" ht="30" x14ac:dyDescent="0.25">
      <c r="A37" s="25" t="s">
        <v>61</v>
      </c>
      <c r="B37" s="26">
        <f>SUM(B38:B40)</f>
        <v>608232645</v>
      </c>
      <c r="C37" s="26">
        <f>SUM(C38:C40)</f>
        <v>631479123.23000002</v>
      </c>
      <c r="D37" s="27">
        <f>SUM(D38:D40)</f>
        <v>347637122.23000002</v>
      </c>
      <c r="E37" s="26">
        <f t="shared" ref="E37" si="18">SUM(E38:E40)</f>
        <v>303007345.06999999</v>
      </c>
      <c r="F37" s="26">
        <f t="shared" si="4"/>
        <v>-44629777.160000026</v>
      </c>
      <c r="G37" s="24">
        <f t="shared" si="2"/>
        <v>87.161964500881879</v>
      </c>
      <c r="H37" s="24">
        <f t="shared" si="3"/>
        <v>47.983747035076149</v>
      </c>
    </row>
    <row r="38" spans="1:8" x14ac:dyDescent="0.25">
      <c r="A38" s="28" t="s">
        <v>18</v>
      </c>
      <c r="B38" s="29">
        <v>1046000</v>
      </c>
      <c r="C38" s="29">
        <v>592663</v>
      </c>
      <c r="D38" s="30">
        <v>592663</v>
      </c>
      <c r="E38" s="29">
        <v>488663</v>
      </c>
      <c r="F38" s="29">
        <f t="shared" ref="F38:F39" si="19">E38-D38</f>
        <v>-104000</v>
      </c>
      <c r="G38" s="23">
        <f t="shared" si="2"/>
        <v>82.452084911661444</v>
      </c>
      <c r="H38" s="23">
        <f t="shared" si="3"/>
        <v>82.452084911661444</v>
      </c>
    </row>
    <row r="39" spans="1:8" x14ac:dyDescent="0.25">
      <c r="A39" s="33" t="s">
        <v>25</v>
      </c>
      <c r="B39" s="29">
        <v>607186645</v>
      </c>
      <c r="C39" s="29">
        <v>625401599.23000002</v>
      </c>
      <c r="D39" s="30">
        <f>213217085+344800+500000+648276.23+60900+119634384+400000+8181319</f>
        <v>342986764.23000002</v>
      </c>
      <c r="E39" s="29">
        <v>302518682.06999999</v>
      </c>
      <c r="F39" s="29">
        <f t="shared" si="19"/>
        <v>-40468082.160000026</v>
      </c>
      <c r="G39" s="23">
        <f t="shared" si="2"/>
        <v>88.201270025433715</v>
      </c>
      <c r="H39" s="23">
        <f t="shared" si="3"/>
        <v>48.371907338015077</v>
      </c>
    </row>
    <row r="40" spans="1:8" ht="30" x14ac:dyDescent="0.25">
      <c r="A40" s="28" t="s">
        <v>24</v>
      </c>
      <c r="B40" s="29">
        <v>0</v>
      </c>
      <c r="C40" s="29">
        <v>5484861</v>
      </c>
      <c r="D40" s="30">
        <f>2557695+1500000</f>
        <v>4057695</v>
      </c>
      <c r="E40" s="29">
        <v>0</v>
      </c>
      <c r="F40" s="29">
        <f t="shared" si="4"/>
        <v>-4057695</v>
      </c>
      <c r="G40" s="23">
        <f t="shared" si="2"/>
        <v>0</v>
      </c>
      <c r="H40" s="23">
        <f t="shared" si="3"/>
        <v>0</v>
      </c>
    </row>
    <row r="41" spans="1:8" s="3" customFormat="1" ht="30" x14ac:dyDescent="0.25">
      <c r="A41" s="25" t="s">
        <v>45</v>
      </c>
      <c r="B41" s="26">
        <f t="shared" ref="B41:D41" si="20">B42</f>
        <v>27925349</v>
      </c>
      <c r="C41" s="26">
        <f t="shared" si="20"/>
        <v>27925349</v>
      </c>
      <c r="D41" s="27">
        <f t="shared" si="20"/>
        <v>12168612</v>
      </c>
      <c r="E41" s="26">
        <f>E42</f>
        <v>11628025.42</v>
      </c>
      <c r="F41" s="26">
        <f t="shared" si="4"/>
        <v>-540586.58000000007</v>
      </c>
      <c r="G41" s="24">
        <f t="shared" si="2"/>
        <v>95.557532938021197</v>
      </c>
      <c r="H41" s="24">
        <f t="shared" si="3"/>
        <v>41.63967805738077</v>
      </c>
    </row>
    <row r="42" spans="1:8" x14ac:dyDescent="0.25">
      <c r="A42" s="33" t="s">
        <v>25</v>
      </c>
      <c r="B42" s="29">
        <v>27925349</v>
      </c>
      <c r="C42" s="29">
        <v>27925349</v>
      </c>
      <c r="D42" s="30">
        <f>10631175+492913+1044524</f>
        <v>12168612</v>
      </c>
      <c r="E42" s="29">
        <v>11628025.42</v>
      </c>
      <c r="F42" s="29">
        <f t="shared" si="4"/>
        <v>-540586.58000000007</v>
      </c>
      <c r="G42" s="23">
        <f t="shared" si="2"/>
        <v>95.557532938021197</v>
      </c>
      <c r="H42" s="23">
        <f t="shared" si="3"/>
        <v>41.63967805738077</v>
      </c>
    </row>
    <row r="43" spans="1:8" s="1" customFormat="1" ht="28.5" x14ac:dyDescent="0.25">
      <c r="A43" s="20" t="s">
        <v>31</v>
      </c>
      <c r="B43" s="21">
        <f>B44+B50+B47</f>
        <v>1040570965</v>
      </c>
      <c r="C43" s="21">
        <f>C44+C47+C50</f>
        <v>1505571236</v>
      </c>
      <c r="D43" s="22">
        <f t="shared" ref="D43:E43" si="21">D44+D50+D47</f>
        <v>431988985</v>
      </c>
      <c r="E43" s="22">
        <f t="shared" si="21"/>
        <v>312196702.17000008</v>
      </c>
      <c r="F43" s="21">
        <f t="shared" si="4"/>
        <v>-119792282.82999992</v>
      </c>
      <c r="G43" s="24">
        <f t="shared" si="2"/>
        <v>72.269597839398642</v>
      </c>
      <c r="H43" s="24">
        <f t="shared" si="3"/>
        <v>20.736096353663338</v>
      </c>
    </row>
    <row r="44" spans="1:8" s="3" customFormat="1" ht="30" x14ac:dyDescent="0.25">
      <c r="A44" s="25" t="s">
        <v>56</v>
      </c>
      <c r="B44" s="26">
        <f>SUM(B45:B46)</f>
        <v>578610860</v>
      </c>
      <c r="C44" s="26">
        <f>SUM(C45:C46)</f>
        <v>577906954</v>
      </c>
      <c r="D44" s="27">
        <f t="shared" ref="D44:E44" si="22">SUM(D45:D46)</f>
        <v>319102621</v>
      </c>
      <c r="E44" s="26">
        <f t="shared" si="22"/>
        <v>270524701.02000004</v>
      </c>
      <c r="F44" s="26">
        <f t="shared" si="4"/>
        <v>-48577919.979999959</v>
      </c>
      <c r="G44" s="24">
        <f t="shared" si="2"/>
        <v>84.77670918911069</v>
      </c>
      <c r="H44" s="24">
        <f t="shared" si="3"/>
        <v>46.811117109346988</v>
      </c>
    </row>
    <row r="45" spans="1:8" ht="30" x14ac:dyDescent="0.25">
      <c r="A45" s="28" t="s">
        <v>22</v>
      </c>
      <c r="B45" s="29">
        <v>299170</v>
      </c>
      <c r="C45" s="29">
        <v>299170</v>
      </c>
      <c r="D45" s="30">
        <v>128770</v>
      </c>
      <c r="E45" s="29">
        <v>15000</v>
      </c>
      <c r="F45" s="29">
        <f t="shared" si="4"/>
        <v>-113770</v>
      </c>
      <c r="G45" s="23">
        <f t="shared" si="2"/>
        <v>11.64867593383552</v>
      </c>
      <c r="H45" s="23">
        <f t="shared" si="3"/>
        <v>5.0138717117358027</v>
      </c>
    </row>
    <row r="46" spans="1:8" ht="30" x14ac:dyDescent="0.25">
      <c r="A46" s="28" t="s">
        <v>4</v>
      </c>
      <c r="B46" s="29">
        <v>578311690</v>
      </c>
      <c r="C46" s="29">
        <v>577607784</v>
      </c>
      <c r="D46" s="30">
        <f>4064372+428832+310403586+3923200+153861</f>
        <v>318973851</v>
      </c>
      <c r="E46" s="29">
        <v>270509701.02000004</v>
      </c>
      <c r="F46" s="29">
        <f t="shared" si="4"/>
        <v>-48464149.979999959</v>
      </c>
      <c r="G46" s="23">
        <f t="shared" si="2"/>
        <v>84.806231034907015</v>
      </c>
      <c r="H46" s="23">
        <f t="shared" si="3"/>
        <v>46.832765851368798</v>
      </c>
    </row>
    <row r="47" spans="1:8" s="3" customFormat="1" ht="30" x14ac:dyDescent="0.25">
      <c r="A47" s="25" t="s">
        <v>46</v>
      </c>
      <c r="B47" s="26">
        <f>SUM(B48:B49)</f>
        <v>440842105</v>
      </c>
      <c r="C47" s="26">
        <f>SUM(C48:C49)</f>
        <v>906434913</v>
      </c>
      <c r="D47" s="27">
        <f t="shared" ref="D47:E47" si="23">SUM(D48:D49)</f>
        <v>102812073</v>
      </c>
      <c r="E47" s="26">
        <f t="shared" si="23"/>
        <v>32005966.170000002</v>
      </c>
      <c r="F47" s="26">
        <f t="shared" si="4"/>
        <v>-70806106.829999998</v>
      </c>
      <c r="G47" s="24">
        <f t="shared" si="2"/>
        <v>31.130552313637335</v>
      </c>
      <c r="H47" s="24">
        <f t="shared" si="3"/>
        <v>3.5309723523414194</v>
      </c>
    </row>
    <row r="48" spans="1:8" s="1" customFormat="1" ht="30" x14ac:dyDescent="0.25">
      <c r="A48" s="28" t="s">
        <v>4</v>
      </c>
      <c r="B48" s="29">
        <v>0</v>
      </c>
      <c r="C48" s="29">
        <v>4481994</v>
      </c>
      <c r="D48" s="30">
        <f>1700000+762534</f>
        <v>2462534</v>
      </c>
      <c r="E48" s="29">
        <v>862253.21</v>
      </c>
      <c r="F48" s="29">
        <f t="shared" si="4"/>
        <v>-1600280.79</v>
      </c>
      <c r="G48" s="23">
        <f t="shared" si="2"/>
        <v>35.014875327609687</v>
      </c>
      <c r="H48" s="23">
        <f t="shared" si="3"/>
        <v>19.238160738278541</v>
      </c>
    </row>
    <row r="49" spans="1:8" ht="30" x14ac:dyDescent="0.25">
      <c r="A49" s="28" t="s">
        <v>24</v>
      </c>
      <c r="B49" s="29">
        <v>440842105</v>
      </c>
      <c r="C49" s="29">
        <v>901952919</v>
      </c>
      <c r="D49" s="30">
        <f>100349539</f>
        <v>100349539</v>
      </c>
      <c r="E49" s="29">
        <v>31143712.960000001</v>
      </c>
      <c r="F49" s="29">
        <f t="shared" si="4"/>
        <v>-69205826.039999992</v>
      </c>
      <c r="G49" s="23">
        <f t="shared" si="2"/>
        <v>31.035232717910144</v>
      </c>
      <c r="H49" s="23">
        <f t="shared" si="3"/>
        <v>3.4529200254187549</v>
      </c>
    </row>
    <row r="50" spans="1:8" s="3" customFormat="1" ht="30" x14ac:dyDescent="0.25">
      <c r="A50" s="25" t="s">
        <v>47</v>
      </c>
      <c r="B50" s="26">
        <f>SUM(B51:B51)</f>
        <v>21118000</v>
      </c>
      <c r="C50" s="26">
        <f>SUM(C51:C51)</f>
        <v>21229369</v>
      </c>
      <c r="D50" s="27">
        <f>SUM(D51:D51)</f>
        <v>10074291</v>
      </c>
      <c r="E50" s="26">
        <f>SUM(E51:E51)</f>
        <v>9666034.9800000004</v>
      </c>
      <c r="F50" s="26">
        <f t="shared" si="4"/>
        <v>-408256.01999999955</v>
      </c>
      <c r="G50" s="24">
        <f t="shared" si="2"/>
        <v>95.947545886851998</v>
      </c>
      <c r="H50" s="24">
        <f t="shared" si="3"/>
        <v>45.53142856012348</v>
      </c>
    </row>
    <row r="51" spans="1:8" ht="30" x14ac:dyDescent="0.25">
      <c r="A51" s="28" t="s">
        <v>4</v>
      </c>
      <c r="B51" s="29">
        <v>21118000</v>
      </c>
      <c r="C51" s="29">
        <v>21229369</v>
      </c>
      <c r="D51" s="30">
        <f>9813891+260400</f>
        <v>10074291</v>
      </c>
      <c r="E51" s="29">
        <v>9666034.9800000004</v>
      </c>
      <c r="F51" s="29">
        <f t="shared" si="4"/>
        <v>-408256.01999999955</v>
      </c>
      <c r="G51" s="23">
        <f t="shared" si="2"/>
        <v>95.947545886851998</v>
      </c>
      <c r="H51" s="23">
        <f t="shared" si="3"/>
        <v>45.53142856012348</v>
      </c>
    </row>
    <row r="52" spans="1:8" s="1" customFormat="1" ht="28.5" x14ac:dyDescent="0.25">
      <c r="A52" s="20" t="s">
        <v>32</v>
      </c>
      <c r="B52" s="21">
        <f>B53+B60+B63+B57</f>
        <v>1714117763</v>
      </c>
      <c r="C52" s="21">
        <f>C53+C60+C63+C57</f>
        <v>1855450171</v>
      </c>
      <c r="D52" s="22">
        <f>D53+D60+D63+D57</f>
        <v>530612324</v>
      </c>
      <c r="E52" s="21">
        <f>E53+E60+E63+E57</f>
        <v>177633778.88</v>
      </c>
      <c r="F52" s="21">
        <f t="shared" si="4"/>
        <v>-352978545.12</v>
      </c>
      <c r="G52" s="24">
        <f t="shared" si="2"/>
        <v>33.477130259793967</v>
      </c>
      <c r="H52" s="24">
        <f t="shared" si="3"/>
        <v>9.5736216286672775</v>
      </c>
    </row>
    <row r="53" spans="1:8" s="3" customFormat="1" ht="30" x14ac:dyDescent="0.25">
      <c r="A53" s="25" t="s">
        <v>48</v>
      </c>
      <c r="B53" s="26">
        <f>SUM(B54:B56)</f>
        <v>188916563</v>
      </c>
      <c r="C53" s="26">
        <f t="shared" ref="C53:E53" si="24">SUM(C54:C56)</f>
        <v>305807102</v>
      </c>
      <c r="D53" s="27">
        <f t="shared" si="24"/>
        <v>153757569</v>
      </c>
      <c r="E53" s="26">
        <f t="shared" si="24"/>
        <v>1966226.73</v>
      </c>
      <c r="F53" s="26">
        <f t="shared" si="4"/>
        <v>-151791342.27000001</v>
      </c>
      <c r="G53" s="24">
        <f t="shared" si="2"/>
        <v>1.2787837000726774</v>
      </c>
      <c r="H53" s="24">
        <f t="shared" si="3"/>
        <v>0.64296306957580074</v>
      </c>
    </row>
    <row r="54" spans="1:8" s="3" customFormat="1" ht="30" x14ac:dyDescent="0.25">
      <c r="A54" s="28" t="s">
        <v>26</v>
      </c>
      <c r="B54" s="26"/>
      <c r="C54" s="29">
        <v>4074119</v>
      </c>
      <c r="D54" s="30">
        <f>3707448+366671</f>
        <v>4074119</v>
      </c>
      <c r="E54" s="29">
        <v>0</v>
      </c>
      <c r="F54" s="29">
        <f t="shared" ref="F54" si="25">E54-D54</f>
        <v>-4074119</v>
      </c>
      <c r="G54" s="23">
        <f t="shared" si="2"/>
        <v>0</v>
      </c>
      <c r="H54" s="23">
        <f t="shared" si="3"/>
        <v>0</v>
      </c>
    </row>
    <row r="55" spans="1:8" ht="30" x14ac:dyDescent="0.25">
      <c r="A55" s="28" t="s">
        <v>24</v>
      </c>
      <c r="B55" s="29">
        <v>188916563</v>
      </c>
      <c r="C55" s="29">
        <v>273639849</v>
      </c>
      <c r="D55" s="30">
        <f>2005000+110758800+36919650</f>
        <v>149683450</v>
      </c>
      <c r="E55" s="29">
        <v>1966226.73</v>
      </c>
      <c r="F55" s="29">
        <f t="shared" si="4"/>
        <v>-147717223.27000001</v>
      </c>
      <c r="G55" s="23">
        <f t="shared" si="2"/>
        <v>1.3135899326211415</v>
      </c>
      <c r="H55" s="23">
        <f t="shared" si="3"/>
        <v>0.71854546667287489</v>
      </c>
    </row>
    <row r="56" spans="1:8" ht="30" x14ac:dyDescent="0.25">
      <c r="A56" s="28" t="s">
        <v>3</v>
      </c>
      <c r="B56" s="29"/>
      <c r="C56" s="29">
        <v>28093134</v>
      </c>
      <c r="D56" s="30">
        <v>0</v>
      </c>
      <c r="E56" s="29">
        <v>0</v>
      </c>
      <c r="F56" s="29">
        <f t="shared" ref="F56" si="26">E56-D56</f>
        <v>0</v>
      </c>
      <c r="G56" s="23">
        <v>0</v>
      </c>
      <c r="H56" s="23">
        <f t="shared" ref="H56" si="27">(E56/C56)*100</f>
        <v>0</v>
      </c>
    </row>
    <row r="57" spans="1:8" s="3" customFormat="1" ht="30" x14ac:dyDescent="0.25">
      <c r="A57" s="25" t="s">
        <v>49</v>
      </c>
      <c r="B57" s="26">
        <f>SUM(B58:B59)</f>
        <v>1376467500</v>
      </c>
      <c r="C57" s="26">
        <f>SUM(C58:C59)</f>
        <v>1404823792</v>
      </c>
      <c r="D57" s="27">
        <f t="shared" ref="D57:E57" si="28">SUM(D58:D59)</f>
        <v>320822532</v>
      </c>
      <c r="E57" s="26">
        <f t="shared" si="28"/>
        <v>124943703.27000001</v>
      </c>
      <c r="F57" s="26">
        <f t="shared" si="4"/>
        <v>-195878828.72999999</v>
      </c>
      <c r="G57" s="24">
        <f t="shared" si="2"/>
        <v>38.944803063271131</v>
      </c>
      <c r="H57" s="24">
        <f t="shared" si="3"/>
        <v>8.8939056970356329</v>
      </c>
    </row>
    <row r="58" spans="1:8" ht="30" x14ac:dyDescent="0.25">
      <c r="A58" s="28" t="s">
        <v>26</v>
      </c>
      <c r="B58" s="29">
        <v>1351946800</v>
      </c>
      <c r="C58" s="29">
        <v>1161797940</v>
      </c>
      <c r="D58" s="30">
        <f>3686696+179315222+17734473</f>
        <v>200736391</v>
      </c>
      <c r="E58" s="29">
        <v>109716761.99000001</v>
      </c>
      <c r="F58" s="29">
        <f t="shared" si="4"/>
        <v>-91019629.00999999</v>
      </c>
      <c r="G58" s="23">
        <f t="shared" si="2"/>
        <v>54.65713588026</v>
      </c>
      <c r="H58" s="23">
        <f t="shared" si="3"/>
        <v>9.4437042976681482</v>
      </c>
    </row>
    <row r="59" spans="1:8" ht="30" x14ac:dyDescent="0.25">
      <c r="A59" s="28" t="s">
        <v>3</v>
      </c>
      <c r="B59" s="29">
        <v>24520700</v>
      </c>
      <c r="C59" s="29">
        <v>243025852</v>
      </c>
      <c r="D59" s="30">
        <f>104565600+5178888+10341653</f>
        <v>120086141</v>
      </c>
      <c r="E59" s="29">
        <v>15226941.279999999</v>
      </c>
      <c r="F59" s="29">
        <f t="shared" si="4"/>
        <v>-104859199.72</v>
      </c>
      <c r="G59" s="23">
        <f t="shared" si="2"/>
        <v>12.680015489880716</v>
      </c>
      <c r="H59" s="23">
        <f t="shared" si="3"/>
        <v>6.2655644058805722</v>
      </c>
    </row>
    <row r="60" spans="1:8" s="3" customFormat="1" ht="30" x14ac:dyDescent="0.25">
      <c r="A60" s="25" t="s">
        <v>50</v>
      </c>
      <c r="B60" s="26">
        <f>SUM(B61:B62)</f>
        <v>31505000</v>
      </c>
      <c r="C60" s="26">
        <f>SUM(C61:C62)</f>
        <v>28451990</v>
      </c>
      <c r="D60" s="27">
        <f>SUM(D61:D62)</f>
        <v>0</v>
      </c>
      <c r="E60" s="26">
        <f>SUM(E61:E62)</f>
        <v>0</v>
      </c>
      <c r="F60" s="26">
        <f t="shared" si="4"/>
        <v>0</v>
      </c>
      <c r="G60" s="44">
        <v>0</v>
      </c>
      <c r="H60" s="44">
        <f t="shared" ref="H60:H62" si="29">(E60/C60)*100</f>
        <v>0</v>
      </c>
    </row>
    <row r="61" spans="1:8" ht="30" x14ac:dyDescent="0.25">
      <c r="A61" s="28" t="s">
        <v>22</v>
      </c>
      <c r="B61" s="29">
        <v>5966800</v>
      </c>
      <c r="C61" s="29">
        <v>3858826</v>
      </c>
      <c r="D61" s="30">
        <v>0</v>
      </c>
      <c r="E61" s="29">
        <v>0</v>
      </c>
      <c r="F61" s="29">
        <f t="shared" si="4"/>
        <v>0</v>
      </c>
      <c r="G61" s="23">
        <v>0</v>
      </c>
      <c r="H61" s="23">
        <f t="shared" si="29"/>
        <v>0</v>
      </c>
    </row>
    <row r="62" spans="1:8" ht="30" x14ac:dyDescent="0.25">
      <c r="A62" s="28" t="s">
        <v>3</v>
      </c>
      <c r="B62" s="29">
        <v>25538200</v>
      </c>
      <c r="C62" s="29">
        <v>24593164</v>
      </c>
      <c r="D62" s="30">
        <v>0</v>
      </c>
      <c r="E62" s="29">
        <v>0</v>
      </c>
      <c r="F62" s="29">
        <f t="shared" si="4"/>
        <v>0</v>
      </c>
      <c r="G62" s="23">
        <v>0</v>
      </c>
      <c r="H62" s="23">
        <f t="shared" si="29"/>
        <v>0</v>
      </c>
    </row>
    <row r="63" spans="1:8" s="3" customFormat="1" x14ac:dyDescent="0.25">
      <c r="A63" s="25" t="s">
        <v>15</v>
      </c>
      <c r="B63" s="26">
        <f>B64</f>
        <v>117228700</v>
      </c>
      <c r="C63" s="26">
        <f>C64</f>
        <v>116367287</v>
      </c>
      <c r="D63" s="27">
        <f t="shared" ref="D63:E63" si="30">D64</f>
        <v>56032223</v>
      </c>
      <c r="E63" s="26">
        <f t="shared" si="30"/>
        <v>50723848.880000003</v>
      </c>
      <c r="F63" s="26">
        <f t="shared" si="4"/>
        <v>-5308374.1199999973</v>
      </c>
      <c r="G63" s="24">
        <f t="shared" si="2"/>
        <v>90.526211819224102</v>
      </c>
      <c r="H63" s="24">
        <f t="shared" si="3"/>
        <v>43.589440114729157</v>
      </c>
    </row>
    <row r="64" spans="1:8" ht="30" x14ac:dyDescent="0.25">
      <c r="A64" s="28" t="s">
        <v>24</v>
      </c>
      <c r="B64" s="29">
        <v>117228700</v>
      </c>
      <c r="C64" s="29">
        <v>116367287</v>
      </c>
      <c r="D64" s="30">
        <f>18180124+37174456+677643</f>
        <v>56032223</v>
      </c>
      <c r="E64" s="29">
        <v>50723848.880000003</v>
      </c>
      <c r="F64" s="29">
        <f t="shared" si="4"/>
        <v>-5308374.1199999973</v>
      </c>
      <c r="G64" s="23">
        <f t="shared" si="2"/>
        <v>90.526211819224102</v>
      </c>
      <c r="H64" s="23">
        <f t="shared" si="3"/>
        <v>43.589440114729157</v>
      </c>
    </row>
    <row r="65" spans="1:8" s="1" customFormat="1" ht="42.75" x14ac:dyDescent="0.25">
      <c r="A65" s="20" t="s">
        <v>51</v>
      </c>
      <c r="B65" s="21">
        <f>B66+B69+B72+B78+B81+B83+B86</f>
        <v>808144657</v>
      </c>
      <c r="C65" s="21">
        <f>C66+C69+C72+C78+C81+C83+C86</f>
        <v>945690668.18000007</v>
      </c>
      <c r="D65" s="22">
        <f>D66+D69+D72+D78+D81+D83+D86</f>
        <v>303354503</v>
      </c>
      <c r="E65" s="21">
        <f>E66+E69+E72+E78+E81+E83</f>
        <v>225655109.65999997</v>
      </c>
      <c r="F65" s="21">
        <f t="shared" si="4"/>
        <v>-77699393.340000033</v>
      </c>
      <c r="G65" s="24">
        <f t="shared" si="2"/>
        <v>74.386602944212754</v>
      </c>
      <c r="H65" s="24">
        <f t="shared" si="3"/>
        <v>23.861408095976834</v>
      </c>
    </row>
    <row r="66" spans="1:8" s="3" customFormat="1" ht="30" x14ac:dyDescent="0.25">
      <c r="A66" s="25" t="s">
        <v>12</v>
      </c>
      <c r="B66" s="26">
        <f>SUM(B68:B68)</f>
        <v>6423000</v>
      </c>
      <c r="C66" s="26">
        <f>SUM(C67:C68)</f>
        <v>40461580</v>
      </c>
      <c r="D66" s="27">
        <f t="shared" ref="D66:E66" si="31">SUM(D67:D68)</f>
        <v>15934629</v>
      </c>
      <c r="E66" s="26">
        <f t="shared" si="31"/>
        <v>5967043.1899999995</v>
      </c>
      <c r="F66" s="26">
        <f t="shared" si="4"/>
        <v>-9967585.8100000005</v>
      </c>
      <c r="G66" s="24">
        <f t="shared" si="2"/>
        <v>37.447016745730316</v>
      </c>
      <c r="H66" s="24">
        <f t="shared" si="3"/>
        <v>14.747430006440677</v>
      </c>
    </row>
    <row r="67" spans="1:8" ht="30" x14ac:dyDescent="0.25">
      <c r="A67" s="28" t="s">
        <v>24</v>
      </c>
      <c r="B67" s="29">
        <v>0</v>
      </c>
      <c r="C67" s="29">
        <v>34089280</v>
      </c>
      <c r="D67" s="30">
        <f>13270089+96000</f>
        <v>13366089</v>
      </c>
      <c r="E67" s="29">
        <f>96000+3639368</f>
        <v>3735368</v>
      </c>
      <c r="F67" s="29">
        <f t="shared" si="4"/>
        <v>-9630721</v>
      </c>
      <c r="G67" s="23">
        <f t="shared" si="2"/>
        <v>27.946604275940405</v>
      </c>
      <c r="H67" s="23">
        <f t="shared" si="3"/>
        <v>10.957603093993185</v>
      </c>
    </row>
    <row r="68" spans="1:8" ht="30" x14ac:dyDescent="0.25">
      <c r="A68" s="28" t="s">
        <v>3</v>
      </c>
      <c r="B68" s="29">
        <v>6423000</v>
      </c>
      <c r="C68" s="29">
        <v>6372300</v>
      </c>
      <c r="D68" s="30">
        <f>2568540</f>
        <v>2568540</v>
      </c>
      <c r="E68" s="29">
        <v>2231675.19</v>
      </c>
      <c r="F68" s="29">
        <f t="shared" si="4"/>
        <v>-336864.81000000006</v>
      </c>
      <c r="G68" s="23">
        <f t="shared" si="2"/>
        <v>86.884969282160299</v>
      </c>
      <c r="H68" s="23">
        <f t="shared" si="3"/>
        <v>35.021502283319997</v>
      </c>
    </row>
    <row r="69" spans="1:8" s="3" customFormat="1" ht="30" x14ac:dyDescent="0.25">
      <c r="A69" s="25" t="s">
        <v>13</v>
      </c>
      <c r="B69" s="26">
        <f>SUM(B70:B71)</f>
        <v>28859100</v>
      </c>
      <c r="C69" s="26">
        <f>SUM(C70:C71)</f>
        <v>38489884</v>
      </c>
      <c r="D69" s="27">
        <f t="shared" ref="D69" si="32">SUM(D70:D71)</f>
        <v>14474118</v>
      </c>
      <c r="E69" s="26">
        <f>SUM(E70:E71)</f>
        <v>10227561.48</v>
      </c>
      <c r="F69" s="26">
        <f t="shared" si="4"/>
        <v>-4246556.5199999996</v>
      </c>
      <c r="G69" s="24">
        <f t="shared" si="2"/>
        <v>70.661034268202044</v>
      </c>
      <c r="H69" s="24">
        <f t="shared" si="3"/>
        <v>26.572076652660215</v>
      </c>
    </row>
    <row r="70" spans="1:8" ht="30" x14ac:dyDescent="0.25">
      <c r="A70" s="28" t="s">
        <v>26</v>
      </c>
      <c r="B70" s="29">
        <v>1589000</v>
      </c>
      <c r="C70" s="29">
        <v>1589000</v>
      </c>
      <c r="D70" s="30">
        <v>691621</v>
      </c>
      <c r="E70" s="29">
        <v>649974.27</v>
      </c>
      <c r="F70" s="29">
        <f t="shared" si="4"/>
        <v>-41646.729999999981</v>
      </c>
      <c r="G70" s="23">
        <f t="shared" ref="G70:G133" si="33">(E70/D70)*100</f>
        <v>93.978388452635187</v>
      </c>
      <c r="H70" s="23">
        <f t="shared" ref="H70:H133" si="34">(E70/C70)*100</f>
        <v>40.90461107614852</v>
      </c>
    </row>
    <row r="71" spans="1:8" ht="30" x14ac:dyDescent="0.25">
      <c r="A71" s="28" t="s">
        <v>3</v>
      </c>
      <c r="B71" s="29">
        <v>27270100</v>
      </c>
      <c r="C71" s="29">
        <v>36900884</v>
      </c>
      <c r="D71" s="30">
        <f>10956240+2525985+300272</f>
        <v>13782497</v>
      </c>
      <c r="E71" s="29">
        <v>9577587.2100000009</v>
      </c>
      <c r="F71" s="29">
        <f t="shared" si="4"/>
        <v>-4204909.7899999991</v>
      </c>
      <c r="G71" s="23">
        <f t="shared" si="33"/>
        <v>69.490943549634011</v>
      </c>
      <c r="H71" s="23">
        <f t="shared" si="34"/>
        <v>25.954899102146172</v>
      </c>
    </row>
    <row r="72" spans="1:8" s="3" customFormat="1" ht="30" x14ac:dyDescent="0.25">
      <c r="A72" s="25" t="s">
        <v>14</v>
      </c>
      <c r="B72" s="26">
        <f>SUM(B73:B77)</f>
        <v>4866700</v>
      </c>
      <c r="C72" s="26">
        <f>SUM(C73:C77)</f>
        <v>11771448</v>
      </c>
      <c r="D72" s="27">
        <f>SUM(D73:D77)</f>
        <v>3965623</v>
      </c>
      <c r="E72" s="26">
        <f>SUM(E73:E77)</f>
        <v>2097873.5</v>
      </c>
      <c r="F72" s="26">
        <f t="shared" si="4"/>
        <v>-1867749.5</v>
      </c>
      <c r="G72" s="24">
        <f t="shared" si="33"/>
        <v>52.901486096888185</v>
      </c>
      <c r="H72" s="24">
        <f t="shared" si="34"/>
        <v>17.821711483582988</v>
      </c>
    </row>
    <row r="73" spans="1:8" x14ac:dyDescent="0.25">
      <c r="A73" s="28" t="s">
        <v>18</v>
      </c>
      <c r="B73" s="29">
        <v>285000</v>
      </c>
      <c r="C73" s="29">
        <v>285000</v>
      </c>
      <c r="D73" s="30">
        <v>284970</v>
      </c>
      <c r="E73" s="29">
        <v>0</v>
      </c>
      <c r="F73" s="29">
        <f t="shared" si="4"/>
        <v>-284970</v>
      </c>
      <c r="G73" s="23">
        <f t="shared" si="33"/>
        <v>0</v>
      </c>
      <c r="H73" s="23">
        <f t="shared" si="34"/>
        <v>0</v>
      </c>
    </row>
    <row r="74" spans="1:8" ht="30" x14ac:dyDescent="0.25">
      <c r="A74" s="28" t="s">
        <v>22</v>
      </c>
      <c r="B74" s="29">
        <v>2755000</v>
      </c>
      <c r="C74" s="29">
        <v>9127848</v>
      </c>
      <c r="D74" s="30">
        <f>2263753+90000</f>
        <v>2353753</v>
      </c>
      <c r="E74" s="29">
        <v>1169409</v>
      </c>
      <c r="F74" s="29">
        <f t="shared" si="4"/>
        <v>-1184344</v>
      </c>
      <c r="G74" s="23">
        <f t="shared" si="33"/>
        <v>49.682740712385709</v>
      </c>
      <c r="H74" s="23">
        <f t="shared" si="34"/>
        <v>12.8114425218299</v>
      </c>
    </row>
    <row r="75" spans="1:8" x14ac:dyDescent="0.25">
      <c r="A75" s="33" t="s">
        <v>25</v>
      </c>
      <c r="B75" s="29">
        <v>200000</v>
      </c>
      <c r="C75" s="29">
        <v>333465</v>
      </c>
      <c r="D75" s="30">
        <v>133465</v>
      </c>
      <c r="E75" s="29">
        <v>133464.5</v>
      </c>
      <c r="F75" s="29">
        <f t="shared" ref="F75:F144" si="35">E75-D75</f>
        <v>-0.5</v>
      </c>
      <c r="G75" s="23">
        <f t="shared" si="33"/>
        <v>99.999625369947182</v>
      </c>
      <c r="H75" s="23">
        <f t="shared" si="34"/>
        <v>40.023540701422938</v>
      </c>
    </row>
    <row r="76" spans="1:8" ht="30" x14ac:dyDescent="0.25">
      <c r="A76" s="28" t="s">
        <v>4</v>
      </c>
      <c r="B76" s="29">
        <v>795000</v>
      </c>
      <c r="C76" s="29">
        <v>795000</v>
      </c>
      <c r="D76" s="30">
        <v>795000</v>
      </c>
      <c r="E76" s="29">
        <v>795000</v>
      </c>
      <c r="F76" s="29">
        <f t="shared" si="35"/>
        <v>0</v>
      </c>
      <c r="G76" s="23">
        <f t="shared" si="33"/>
        <v>100</v>
      </c>
      <c r="H76" s="23">
        <f t="shared" si="34"/>
        <v>100</v>
      </c>
    </row>
    <row r="77" spans="1:8" ht="30" x14ac:dyDescent="0.25">
      <c r="A77" s="28" t="s">
        <v>3</v>
      </c>
      <c r="B77" s="29">
        <v>831700</v>
      </c>
      <c r="C77" s="29">
        <v>1230135</v>
      </c>
      <c r="D77" s="30">
        <v>398435</v>
      </c>
      <c r="E77" s="29">
        <v>0</v>
      </c>
      <c r="F77" s="29">
        <f t="shared" si="35"/>
        <v>-398435</v>
      </c>
      <c r="G77" s="23">
        <f t="shared" si="33"/>
        <v>0</v>
      </c>
      <c r="H77" s="23">
        <f t="shared" si="34"/>
        <v>0</v>
      </c>
    </row>
    <row r="78" spans="1:8" s="3" customFormat="1" x14ac:dyDescent="0.25">
      <c r="A78" s="25" t="s">
        <v>27</v>
      </c>
      <c r="B78" s="26">
        <f>SUM(B79:B80)</f>
        <v>441322807</v>
      </c>
      <c r="C78" s="26">
        <f t="shared" ref="C78:E78" si="36">SUM(C79:C80)</f>
        <v>514768355.18000001</v>
      </c>
      <c r="D78" s="27">
        <f t="shared" si="36"/>
        <v>127983418</v>
      </c>
      <c r="E78" s="26">
        <f t="shared" si="36"/>
        <v>88907986.359999985</v>
      </c>
      <c r="F78" s="26">
        <f t="shared" si="35"/>
        <v>-39075431.640000015</v>
      </c>
      <c r="G78" s="24">
        <f t="shared" si="33"/>
        <v>69.468363753185585</v>
      </c>
      <c r="H78" s="24">
        <f t="shared" si="34"/>
        <v>17.271455299328057</v>
      </c>
    </row>
    <row r="79" spans="1:8" ht="30" x14ac:dyDescent="0.25">
      <c r="A79" s="28" t="s">
        <v>24</v>
      </c>
      <c r="B79" s="29"/>
      <c r="C79" s="29">
        <v>771028</v>
      </c>
      <c r="D79" s="30">
        <v>0</v>
      </c>
      <c r="E79" s="29">
        <v>0</v>
      </c>
      <c r="F79" s="29">
        <f t="shared" ref="F79" si="37">E79-D79</f>
        <v>0</v>
      </c>
      <c r="G79" s="23">
        <v>0</v>
      </c>
      <c r="H79" s="23">
        <f t="shared" ref="H79" si="38">(E79/C79)*100</f>
        <v>0</v>
      </c>
    </row>
    <row r="80" spans="1:8" ht="30" x14ac:dyDescent="0.25">
      <c r="A80" s="28" t="s">
        <v>3</v>
      </c>
      <c r="B80" s="29">
        <v>441322807</v>
      </c>
      <c r="C80" s="29">
        <v>513997327.18000001</v>
      </c>
      <c r="D80" s="30">
        <f>1795700+3087556+87768930+1200000+34131232</f>
        <v>127983418</v>
      </c>
      <c r="E80" s="29">
        <v>88907986.359999985</v>
      </c>
      <c r="F80" s="29">
        <f t="shared" si="35"/>
        <v>-39075431.640000015</v>
      </c>
      <c r="G80" s="23">
        <f t="shared" si="33"/>
        <v>69.468363753185585</v>
      </c>
      <c r="H80" s="23">
        <f t="shared" si="34"/>
        <v>17.297363557858489</v>
      </c>
    </row>
    <row r="81" spans="1:8" s="3" customFormat="1" x14ac:dyDescent="0.25">
      <c r="A81" s="25" t="s">
        <v>15</v>
      </c>
      <c r="B81" s="26">
        <f t="shared" ref="B81:C81" si="39">B82</f>
        <v>276241150</v>
      </c>
      <c r="C81" s="26">
        <f t="shared" si="39"/>
        <v>286899235</v>
      </c>
      <c r="D81" s="27">
        <f>SUM(D82:D82)</f>
        <v>140996715</v>
      </c>
      <c r="E81" s="26">
        <f>SUM(E82:E82)</f>
        <v>118454645.13</v>
      </c>
      <c r="F81" s="26">
        <f t="shared" si="35"/>
        <v>-22542069.870000005</v>
      </c>
      <c r="G81" s="24">
        <f t="shared" si="33"/>
        <v>84.012343925885077</v>
      </c>
      <c r="H81" s="24">
        <f t="shared" si="34"/>
        <v>41.28789159371582</v>
      </c>
    </row>
    <row r="82" spans="1:8" ht="30" x14ac:dyDescent="0.25">
      <c r="A82" s="28" t="s">
        <v>3</v>
      </c>
      <c r="B82" s="29">
        <v>276241150</v>
      </c>
      <c r="C82" s="29">
        <v>286899235</v>
      </c>
      <c r="D82" s="30">
        <f>103642373+30249242+7105100</f>
        <v>140996715</v>
      </c>
      <c r="E82" s="29">
        <v>118454645.13</v>
      </c>
      <c r="F82" s="29">
        <f t="shared" si="35"/>
        <v>-22542069.870000005</v>
      </c>
      <c r="G82" s="23">
        <f t="shared" si="33"/>
        <v>84.012343925885077</v>
      </c>
      <c r="H82" s="23">
        <f t="shared" si="34"/>
        <v>41.28789159371582</v>
      </c>
    </row>
    <row r="83" spans="1:8" s="3" customFormat="1" ht="75" x14ac:dyDescent="0.25">
      <c r="A83" s="25" t="s">
        <v>52</v>
      </c>
      <c r="B83" s="26">
        <f>SUM(B84:B85)</f>
        <v>50431900</v>
      </c>
      <c r="C83" s="26">
        <f>SUM(C84:C85)</f>
        <v>53099766</v>
      </c>
      <c r="D83" s="27">
        <f t="shared" ref="D83:E83" si="40">SUM(D84:D85)</f>
        <v>0</v>
      </c>
      <c r="E83" s="26">
        <f t="shared" si="40"/>
        <v>0</v>
      </c>
      <c r="F83" s="26">
        <f t="shared" ref="F83:F85" si="41">E83-D83</f>
        <v>0</v>
      </c>
      <c r="G83" s="44">
        <v>0</v>
      </c>
      <c r="H83" s="44">
        <f t="shared" ref="H83:H87" si="42">(E83/C83)*100</f>
        <v>0</v>
      </c>
    </row>
    <row r="84" spans="1:8" ht="30" x14ac:dyDescent="0.25">
      <c r="A84" s="28" t="s">
        <v>24</v>
      </c>
      <c r="B84" s="29"/>
      <c r="C84" s="29">
        <v>30732014</v>
      </c>
      <c r="D84" s="30">
        <v>0</v>
      </c>
      <c r="E84" s="29">
        <v>0</v>
      </c>
      <c r="F84" s="29">
        <f t="shared" si="41"/>
        <v>0</v>
      </c>
      <c r="G84" s="23">
        <v>0</v>
      </c>
      <c r="H84" s="23">
        <f t="shared" si="42"/>
        <v>0</v>
      </c>
    </row>
    <row r="85" spans="1:8" ht="30" x14ac:dyDescent="0.25">
      <c r="A85" s="28" t="s">
        <v>3</v>
      </c>
      <c r="B85" s="29">
        <v>50431900</v>
      </c>
      <c r="C85" s="29">
        <v>22367752</v>
      </c>
      <c r="D85" s="30">
        <v>0</v>
      </c>
      <c r="E85" s="29">
        <v>0</v>
      </c>
      <c r="F85" s="29">
        <f t="shared" si="41"/>
        <v>0</v>
      </c>
      <c r="G85" s="23">
        <v>0</v>
      </c>
      <c r="H85" s="23">
        <f t="shared" si="42"/>
        <v>0</v>
      </c>
    </row>
    <row r="86" spans="1:8" s="3" customFormat="1" ht="30" x14ac:dyDescent="0.25">
      <c r="A86" s="25" t="s">
        <v>68</v>
      </c>
      <c r="B86" s="26">
        <f>B87</f>
        <v>0</v>
      </c>
      <c r="C86" s="26">
        <f t="shared" ref="C86:E86" si="43">C87</f>
        <v>200400</v>
      </c>
      <c r="D86" s="27">
        <f t="shared" si="43"/>
        <v>0</v>
      </c>
      <c r="E86" s="26">
        <f t="shared" si="43"/>
        <v>0</v>
      </c>
      <c r="F86" s="26">
        <f t="shared" ref="F86:F87" si="44">E86-D86</f>
        <v>0</v>
      </c>
      <c r="G86" s="44">
        <v>0</v>
      </c>
      <c r="H86" s="44">
        <f t="shared" si="42"/>
        <v>0</v>
      </c>
    </row>
    <row r="87" spans="1:8" ht="30" x14ac:dyDescent="0.25">
      <c r="A87" s="28" t="s">
        <v>3</v>
      </c>
      <c r="B87" s="29"/>
      <c r="C87" s="29">
        <v>200400</v>
      </c>
      <c r="D87" s="30">
        <v>0</v>
      </c>
      <c r="E87" s="29">
        <v>0</v>
      </c>
      <c r="F87" s="29">
        <f t="shared" si="44"/>
        <v>0</v>
      </c>
      <c r="G87" s="23">
        <v>0</v>
      </c>
      <c r="H87" s="23">
        <f t="shared" si="42"/>
        <v>0</v>
      </c>
    </row>
    <row r="88" spans="1:8" s="1" customFormat="1" ht="71.25" x14ac:dyDescent="0.25">
      <c r="A88" s="31" t="s">
        <v>62</v>
      </c>
      <c r="B88" s="21">
        <f>B89+B92</f>
        <v>3254063</v>
      </c>
      <c r="C88" s="21">
        <f>C89+C92</f>
        <v>3350993</v>
      </c>
      <c r="D88" s="21">
        <f t="shared" ref="D88:E88" si="45">D89+D92</f>
        <v>1421146</v>
      </c>
      <c r="E88" s="21">
        <f t="shared" si="45"/>
        <v>792321.78</v>
      </c>
      <c r="F88" s="21">
        <f t="shared" si="35"/>
        <v>-628824.22</v>
      </c>
      <c r="G88" s="24">
        <f t="shared" si="33"/>
        <v>55.752313977592735</v>
      </c>
      <c r="H88" s="24">
        <f t="shared" si="34"/>
        <v>23.644387797885582</v>
      </c>
    </row>
    <row r="89" spans="1:8" s="3" customFormat="1" x14ac:dyDescent="0.25">
      <c r="A89" s="34" t="s">
        <v>2</v>
      </c>
      <c r="B89" s="26">
        <f>SUM(B90:B91)</f>
        <v>3188800</v>
      </c>
      <c r="C89" s="26">
        <f>SUM(C90:C91)</f>
        <v>3188800</v>
      </c>
      <c r="D89" s="27">
        <f>SUM(D90:D91)</f>
        <v>1335383</v>
      </c>
      <c r="E89" s="26">
        <f>SUM(E90:E91)</f>
        <v>771934.78</v>
      </c>
      <c r="F89" s="26">
        <f t="shared" si="35"/>
        <v>-563448.22</v>
      </c>
      <c r="G89" s="24">
        <f t="shared" si="33"/>
        <v>57.80624584856929</v>
      </c>
      <c r="H89" s="24">
        <f t="shared" si="34"/>
        <v>24.207688785750126</v>
      </c>
    </row>
    <row r="90" spans="1:8" x14ac:dyDescent="0.25">
      <c r="A90" s="32" t="s">
        <v>18</v>
      </c>
      <c r="B90" s="29">
        <v>137800</v>
      </c>
      <c r="C90" s="29">
        <v>137800</v>
      </c>
      <c r="D90" s="30">
        <f>44800+19300</f>
        <v>64100</v>
      </c>
      <c r="E90" s="29">
        <v>63999.91</v>
      </c>
      <c r="F90" s="29">
        <f t="shared" si="35"/>
        <v>-100.08999999999651</v>
      </c>
      <c r="G90" s="23">
        <f t="shared" si="33"/>
        <v>99.843853354134168</v>
      </c>
      <c r="H90" s="23">
        <f t="shared" si="34"/>
        <v>46.444056603773589</v>
      </c>
    </row>
    <row r="91" spans="1:8" ht="30" x14ac:dyDescent="0.25">
      <c r="A91" s="32" t="s">
        <v>3</v>
      </c>
      <c r="B91" s="29">
        <v>3051000</v>
      </c>
      <c r="C91" s="29">
        <v>3051000</v>
      </c>
      <c r="D91" s="30">
        <v>1271283</v>
      </c>
      <c r="E91" s="29">
        <v>707934.87</v>
      </c>
      <c r="F91" s="29">
        <f t="shared" si="35"/>
        <v>-563348.13</v>
      </c>
      <c r="G91" s="23">
        <f t="shared" si="33"/>
        <v>55.686646482333202</v>
      </c>
      <c r="H91" s="23">
        <f t="shared" si="34"/>
        <v>23.203371681415931</v>
      </c>
    </row>
    <row r="92" spans="1:8" s="3" customFormat="1" ht="30" x14ac:dyDescent="0.25">
      <c r="A92" s="34" t="s">
        <v>63</v>
      </c>
      <c r="B92" s="26">
        <f>B94+B93</f>
        <v>65263</v>
      </c>
      <c r="C92" s="26">
        <f t="shared" ref="C92:E92" si="46">C94+C93</f>
        <v>162193</v>
      </c>
      <c r="D92" s="27">
        <f t="shared" si="46"/>
        <v>85763</v>
      </c>
      <c r="E92" s="26">
        <f t="shared" si="46"/>
        <v>20387</v>
      </c>
      <c r="F92" s="26">
        <f t="shared" ref="F92:F94" si="47">E92-D92</f>
        <v>-65376</v>
      </c>
      <c r="G92" s="24">
        <f t="shared" si="33"/>
        <v>23.771323297925679</v>
      </c>
      <c r="H92" s="24">
        <f t="shared" si="34"/>
        <v>12.569593015728175</v>
      </c>
    </row>
    <row r="93" spans="1:8" s="2" customFormat="1" ht="30" x14ac:dyDescent="0.25">
      <c r="A93" s="28" t="s">
        <v>22</v>
      </c>
      <c r="B93" s="35"/>
      <c r="C93" s="35">
        <v>96930</v>
      </c>
      <c r="D93" s="36">
        <v>20500</v>
      </c>
      <c r="E93" s="35">
        <v>20387</v>
      </c>
      <c r="F93" s="29">
        <f t="shared" si="47"/>
        <v>-113</v>
      </c>
      <c r="G93" s="23">
        <f t="shared" si="33"/>
        <v>99.448780487804882</v>
      </c>
      <c r="H93" s="23">
        <f t="shared" si="34"/>
        <v>21.032704013205404</v>
      </c>
    </row>
    <row r="94" spans="1:8" x14ac:dyDescent="0.25">
      <c r="A94" s="33" t="s">
        <v>25</v>
      </c>
      <c r="B94" s="29">
        <v>65263</v>
      </c>
      <c r="C94" s="29">
        <v>65263</v>
      </c>
      <c r="D94" s="30">
        <v>65263</v>
      </c>
      <c r="E94" s="29">
        <v>0</v>
      </c>
      <c r="F94" s="29">
        <f t="shared" si="47"/>
        <v>-65263</v>
      </c>
      <c r="G94" s="23">
        <f t="shared" si="33"/>
        <v>0</v>
      </c>
      <c r="H94" s="23">
        <f t="shared" si="34"/>
        <v>0</v>
      </c>
    </row>
    <row r="95" spans="1:8" s="1" customFormat="1" ht="57" x14ac:dyDescent="0.25">
      <c r="A95" s="31" t="s">
        <v>55</v>
      </c>
      <c r="B95" s="21">
        <f>B96+B98</f>
        <v>12952768</v>
      </c>
      <c r="C95" s="21">
        <f>C96+C98</f>
        <v>15266816</v>
      </c>
      <c r="D95" s="22">
        <f>D96+D98</f>
        <v>8037049</v>
      </c>
      <c r="E95" s="21">
        <f>E96+E98</f>
        <v>5549512.4699999997</v>
      </c>
      <c r="F95" s="21">
        <f t="shared" si="35"/>
        <v>-2487536.5300000003</v>
      </c>
      <c r="G95" s="24">
        <f t="shared" si="33"/>
        <v>69.049130719496659</v>
      </c>
      <c r="H95" s="24">
        <f t="shared" si="34"/>
        <v>36.35016279753421</v>
      </c>
    </row>
    <row r="96" spans="1:8" s="3" customFormat="1" ht="45" x14ac:dyDescent="0.25">
      <c r="A96" s="25" t="s">
        <v>19</v>
      </c>
      <c r="B96" s="26">
        <f>SUM(B97:B97)</f>
        <v>259400</v>
      </c>
      <c r="C96" s="26">
        <f>SUM(C97:C97)</f>
        <v>259400</v>
      </c>
      <c r="D96" s="27">
        <f>SUM(D97:D97)</f>
        <v>259400</v>
      </c>
      <c r="E96" s="26">
        <f>SUM(E97:E97)</f>
        <v>200073.5</v>
      </c>
      <c r="F96" s="26">
        <f t="shared" si="35"/>
        <v>-59326.5</v>
      </c>
      <c r="G96" s="24">
        <f t="shared" si="33"/>
        <v>77.129336931380109</v>
      </c>
      <c r="H96" s="24">
        <f t="shared" si="34"/>
        <v>77.129336931380109</v>
      </c>
    </row>
    <row r="97" spans="1:8" x14ac:dyDescent="0.25">
      <c r="A97" s="28" t="s">
        <v>18</v>
      </c>
      <c r="B97" s="29">
        <v>259400</v>
      </c>
      <c r="C97" s="29">
        <v>259400</v>
      </c>
      <c r="D97" s="30">
        <v>259400</v>
      </c>
      <c r="E97" s="29">
        <v>200073.5</v>
      </c>
      <c r="F97" s="29">
        <f t="shared" si="35"/>
        <v>-59326.5</v>
      </c>
      <c r="G97" s="23">
        <f t="shared" si="33"/>
        <v>77.129336931380109</v>
      </c>
      <c r="H97" s="23">
        <f t="shared" si="34"/>
        <v>77.129336931380109</v>
      </c>
    </row>
    <row r="98" spans="1:8" s="3" customFormat="1" ht="30" x14ac:dyDescent="0.25">
      <c r="A98" s="25" t="s">
        <v>9</v>
      </c>
      <c r="B98" s="26">
        <f>SUM(B99:B105)</f>
        <v>12693368</v>
      </c>
      <c r="C98" s="26">
        <f>SUM(C99:C105)</f>
        <v>15007416</v>
      </c>
      <c r="D98" s="27">
        <f t="shared" ref="D98" si="48">SUM(D99:D105)</f>
        <v>7777649</v>
      </c>
      <c r="E98" s="26">
        <f>SUM(E99:E105)</f>
        <v>5349438.97</v>
      </c>
      <c r="F98" s="26">
        <f t="shared" si="35"/>
        <v>-2428210.0300000003</v>
      </c>
      <c r="G98" s="24">
        <f t="shared" si="33"/>
        <v>68.779639837179587</v>
      </c>
      <c r="H98" s="24">
        <f t="shared" si="34"/>
        <v>35.645303428651538</v>
      </c>
    </row>
    <row r="99" spans="1:8" x14ac:dyDescent="0.25">
      <c r="A99" s="28" t="s">
        <v>18</v>
      </c>
      <c r="B99" s="29">
        <v>151300</v>
      </c>
      <c r="C99" s="29">
        <v>151300</v>
      </c>
      <c r="D99" s="30">
        <v>74100</v>
      </c>
      <c r="E99" s="29">
        <v>16834.099999999999</v>
      </c>
      <c r="F99" s="29">
        <f t="shared" si="35"/>
        <v>-57265.9</v>
      </c>
      <c r="G99" s="23">
        <f t="shared" si="33"/>
        <v>22.718083670715249</v>
      </c>
      <c r="H99" s="23">
        <f t="shared" si="34"/>
        <v>11.126305353602115</v>
      </c>
    </row>
    <row r="100" spans="1:8" ht="30" x14ac:dyDescent="0.25">
      <c r="A100" s="28" t="s">
        <v>26</v>
      </c>
      <c r="B100" s="29">
        <v>131300</v>
      </c>
      <c r="C100" s="29">
        <v>131300</v>
      </c>
      <c r="D100" s="30">
        <v>55900</v>
      </c>
      <c r="E100" s="29">
        <v>18424.02</v>
      </c>
      <c r="F100" s="29">
        <f t="shared" si="35"/>
        <v>-37475.979999999996</v>
      </c>
      <c r="G100" s="23">
        <f t="shared" si="33"/>
        <v>32.958890876565292</v>
      </c>
      <c r="H100" s="23">
        <f t="shared" si="34"/>
        <v>14.032003046458492</v>
      </c>
    </row>
    <row r="101" spans="1:8" ht="30" x14ac:dyDescent="0.25">
      <c r="A101" s="28" t="s">
        <v>22</v>
      </c>
      <c r="B101" s="29">
        <v>9276000</v>
      </c>
      <c r="C101" s="29">
        <v>10044972</v>
      </c>
      <c r="D101" s="30">
        <v>5893117</v>
      </c>
      <c r="E101" s="29">
        <v>4435527.8600000003</v>
      </c>
      <c r="F101" s="29">
        <f t="shared" si="35"/>
        <v>-1457589.1399999997</v>
      </c>
      <c r="G101" s="23">
        <f t="shared" si="33"/>
        <v>75.266244671538004</v>
      </c>
      <c r="H101" s="23">
        <f t="shared" si="34"/>
        <v>44.156697101793817</v>
      </c>
    </row>
    <row r="102" spans="1:8" x14ac:dyDescent="0.25">
      <c r="A102" s="33" t="s">
        <v>25</v>
      </c>
      <c r="B102" s="29">
        <v>1150168</v>
      </c>
      <c r="C102" s="29">
        <v>2695244</v>
      </c>
      <c r="D102" s="30">
        <v>969873</v>
      </c>
      <c r="E102" s="29">
        <v>357233.6</v>
      </c>
      <c r="F102" s="29">
        <f t="shared" si="35"/>
        <v>-612639.4</v>
      </c>
      <c r="G102" s="23">
        <f t="shared" si="33"/>
        <v>36.833028654267103</v>
      </c>
      <c r="H102" s="23">
        <f t="shared" si="34"/>
        <v>13.254221139162167</v>
      </c>
    </row>
    <row r="103" spans="1:8" ht="30" x14ac:dyDescent="0.25">
      <c r="A103" s="28" t="s">
        <v>4</v>
      </c>
      <c r="B103" s="29">
        <v>1373200</v>
      </c>
      <c r="C103" s="29">
        <v>1373200</v>
      </c>
      <c r="D103" s="30">
        <v>606244</v>
      </c>
      <c r="E103" s="29">
        <v>428207.39</v>
      </c>
      <c r="F103" s="29">
        <f t="shared" si="35"/>
        <v>-178036.61</v>
      </c>
      <c r="G103" s="23">
        <f t="shared" si="33"/>
        <v>70.632845850845541</v>
      </c>
      <c r="H103" s="23">
        <f t="shared" si="34"/>
        <v>31.183177250218471</v>
      </c>
    </row>
    <row r="104" spans="1:8" ht="30" x14ac:dyDescent="0.25">
      <c r="A104" s="28" t="s">
        <v>24</v>
      </c>
      <c r="B104" s="29">
        <v>94100</v>
      </c>
      <c r="C104" s="29">
        <v>94100</v>
      </c>
      <c r="D104" s="30">
        <v>30000</v>
      </c>
      <c r="E104" s="29">
        <v>16500</v>
      </c>
      <c r="F104" s="29">
        <f t="shared" si="35"/>
        <v>-13500</v>
      </c>
      <c r="G104" s="23">
        <f t="shared" si="33"/>
        <v>55.000000000000007</v>
      </c>
      <c r="H104" s="23">
        <f t="shared" si="34"/>
        <v>17.534537725823593</v>
      </c>
    </row>
    <row r="105" spans="1:8" ht="30" x14ac:dyDescent="0.25">
      <c r="A105" s="28" t="s">
        <v>3</v>
      </c>
      <c r="B105" s="29">
        <v>517300</v>
      </c>
      <c r="C105" s="29">
        <v>517300</v>
      </c>
      <c r="D105" s="30">
        <v>148415</v>
      </c>
      <c r="E105" s="29">
        <v>76712</v>
      </c>
      <c r="F105" s="29">
        <f t="shared" si="35"/>
        <v>-71703</v>
      </c>
      <c r="G105" s="23">
        <f t="shared" si="33"/>
        <v>51.687497894417675</v>
      </c>
      <c r="H105" s="23">
        <f t="shared" si="34"/>
        <v>14.829306011985308</v>
      </c>
    </row>
    <row r="106" spans="1:8" s="1" customFormat="1" ht="28.5" x14ac:dyDescent="0.25">
      <c r="A106" s="31" t="s">
        <v>33</v>
      </c>
      <c r="B106" s="21">
        <f>B107+B109+B111+B113</f>
        <v>455938200</v>
      </c>
      <c r="C106" s="21">
        <f>C107+C109+C111+C113</f>
        <v>462321557</v>
      </c>
      <c r="D106" s="22">
        <f>D107+D111+D109+D113</f>
        <v>221528398</v>
      </c>
      <c r="E106" s="21">
        <f>E107+E111+E109+E113</f>
        <v>200712100.53000003</v>
      </c>
      <c r="F106" s="21">
        <f t="shared" si="35"/>
        <v>-20816297.469999969</v>
      </c>
      <c r="G106" s="24">
        <f t="shared" si="33"/>
        <v>90.603327763874333</v>
      </c>
      <c r="H106" s="24">
        <f t="shared" si="34"/>
        <v>43.413961017180092</v>
      </c>
    </row>
    <row r="107" spans="1:8" s="3" customFormat="1" x14ac:dyDescent="0.25">
      <c r="A107" s="34" t="s">
        <v>7</v>
      </c>
      <c r="B107" s="26">
        <f>B108</f>
        <v>349712200</v>
      </c>
      <c r="C107" s="26">
        <f>C108</f>
        <v>352268045</v>
      </c>
      <c r="D107" s="27">
        <f t="shared" ref="D107" si="49">D108</f>
        <v>156329698</v>
      </c>
      <c r="E107" s="26">
        <f>E108</f>
        <v>148422527.16000003</v>
      </c>
      <c r="F107" s="26">
        <f t="shared" si="35"/>
        <v>-7907170.8399999738</v>
      </c>
      <c r="G107" s="24">
        <f t="shared" si="33"/>
        <v>94.941990587098829</v>
      </c>
      <c r="H107" s="24">
        <f t="shared" si="34"/>
        <v>42.133406440541613</v>
      </c>
    </row>
    <row r="108" spans="1:8" x14ac:dyDescent="0.25">
      <c r="A108" s="32" t="s">
        <v>18</v>
      </c>
      <c r="B108" s="29">
        <v>349712200</v>
      </c>
      <c r="C108" s="29">
        <v>352268045</v>
      </c>
      <c r="D108" s="30">
        <f>36834188+99386716+978694+19130100</f>
        <v>156329698</v>
      </c>
      <c r="E108" s="29">
        <v>148422527.16000003</v>
      </c>
      <c r="F108" s="29">
        <f t="shared" si="35"/>
        <v>-7907170.8399999738</v>
      </c>
      <c r="G108" s="23">
        <f t="shared" si="33"/>
        <v>94.941990587098829</v>
      </c>
      <c r="H108" s="23">
        <f t="shared" si="34"/>
        <v>42.133406440541613</v>
      </c>
    </row>
    <row r="109" spans="1:8" s="3" customFormat="1" x14ac:dyDescent="0.25">
      <c r="A109" s="34" t="s">
        <v>20</v>
      </c>
      <c r="B109" s="26">
        <f>SUM(B110:B110)</f>
        <v>52219400</v>
      </c>
      <c r="C109" s="26">
        <f>SUM(C110:C110)</f>
        <v>51799512</v>
      </c>
      <c r="D109" s="27">
        <f>SUM(D110:D110)</f>
        <v>34192011</v>
      </c>
      <c r="E109" s="26">
        <f>SUM(E110:E110)</f>
        <v>29788260.030000001</v>
      </c>
      <c r="F109" s="26">
        <f t="shared" si="35"/>
        <v>-4403750.9699999988</v>
      </c>
      <c r="G109" s="24">
        <f t="shared" si="33"/>
        <v>87.120526575637797</v>
      </c>
      <c r="H109" s="24">
        <f t="shared" si="34"/>
        <v>57.506835257444123</v>
      </c>
    </row>
    <row r="110" spans="1:8" x14ac:dyDescent="0.25">
      <c r="A110" s="32" t="s">
        <v>18</v>
      </c>
      <c r="B110" s="29">
        <v>52219400</v>
      </c>
      <c r="C110" s="29">
        <v>51799512</v>
      </c>
      <c r="D110" s="30">
        <f>4502012+438300+1844500+2302000+5136132+1018755+52112+18898200</f>
        <v>34192011</v>
      </c>
      <c r="E110" s="29">
        <v>29788260.030000001</v>
      </c>
      <c r="F110" s="29">
        <f t="shared" si="35"/>
        <v>-4403750.9699999988</v>
      </c>
      <c r="G110" s="23">
        <f t="shared" si="33"/>
        <v>87.120526575637797</v>
      </c>
      <c r="H110" s="23">
        <f t="shared" si="34"/>
        <v>57.506835257444123</v>
      </c>
    </row>
    <row r="111" spans="1:8" s="3" customFormat="1" x14ac:dyDescent="0.25">
      <c r="A111" s="34" t="s">
        <v>8</v>
      </c>
      <c r="B111" s="26">
        <f t="shared" ref="B111:D111" si="50">B112</f>
        <v>6533500</v>
      </c>
      <c r="C111" s="26">
        <f t="shared" si="50"/>
        <v>10780900</v>
      </c>
      <c r="D111" s="27">
        <f t="shared" si="50"/>
        <v>8988179</v>
      </c>
      <c r="E111" s="26">
        <f>E112</f>
        <v>4450478.2</v>
      </c>
      <c r="F111" s="26">
        <f t="shared" si="35"/>
        <v>-4537700.8</v>
      </c>
      <c r="G111" s="24">
        <f t="shared" si="33"/>
        <v>49.514792707176838</v>
      </c>
      <c r="H111" s="24">
        <f t="shared" si="34"/>
        <v>41.281137938391041</v>
      </c>
    </row>
    <row r="112" spans="1:8" x14ac:dyDescent="0.25">
      <c r="A112" s="32" t="s">
        <v>18</v>
      </c>
      <c r="B112" s="29">
        <v>6533500</v>
      </c>
      <c r="C112" s="29">
        <v>10780900</v>
      </c>
      <c r="D112" s="30">
        <f>2247400+2000000+3827412+704651+208716</f>
        <v>8988179</v>
      </c>
      <c r="E112" s="29">
        <v>4450478.2</v>
      </c>
      <c r="F112" s="29">
        <f t="shared" si="35"/>
        <v>-4537700.8</v>
      </c>
      <c r="G112" s="23">
        <f t="shared" si="33"/>
        <v>49.514792707176838</v>
      </c>
      <c r="H112" s="23">
        <f t="shared" si="34"/>
        <v>41.281137938391041</v>
      </c>
    </row>
    <row r="113" spans="1:8" s="3" customFormat="1" ht="45" x14ac:dyDescent="0.25">
      <c r="A113" s="34" t="s">
        <v>21</v>
      </c>
      <c r="B113" s="26">
        <f>B114+B115</f>
        <v>47473100</v>
      </c>
      <c r="C113" s="26">
        <f>C114+C115</f>
        <v>47473100</v>
      </c>
      <c r="D113" s="27">
        <f t="shared" ref="D113:E113" si="51">D114+D115</f>
        <v>22018510</v>
      </c>
      <c r="E113" s="26">
        <f t="shared" si="51"/>
        <v>18050835.140000001</v>
      </c>
      <c r="F113" s="26">
        <f t="shared" si="35"/>
        <v>-3967674.8599999994</v>
      </c>
      <c r="G113" s="24">
        <f t="shared" si="33"/>
        <v>81.980275413731448</v>
      </c>
      <c r="H113" s="24">
        <f t="shared" si="34"/>
        <v>38.023291379749793</v>
      </c>
    </row>
    <row r="114" spans="1:8" x14ac:dyDescent="0.25">
      <c r="A114" s="32" t="s">
        <v>18</v>
      </c>
      <c r="B114" s="29">
        <v>24236200</v>
      </c>
      <c r="C114" s="29">
        <v>24236200</v>
      </c>
      <c r="D114" s="30">
        <f>7849900+3505000</f>
        <v>11354900</v>
      </c>
      <c r="E114" s="29">
        <v>8956844.870000001</v>
      </c>
      <c r="F114" s="29">
        <f t="shared" si="35"/>
        <v>-2398055.129999999</v>
      </c>
      <c r="G114" s="23">
        <f t="shared" si="33"/>
        <v>78.880878475371873</v>
      </c>
      <c r="H114" s="23">
        <f t="shared" si="34"/>
        <v>36.95647366336307</v>
      </c>
    </row>
    <row r="115" spans="1:8" ht="30" x14ac:dyDescent="0.25">
      <c r="A115" s="28" t="s">
        <v>26</v>
      </c>
      <c r="B115" s="29">
        <v>23236900</v>
      </c>
      <c r="C115" s="29">
        <v>23236900</v>
      </c>
      <c r="D115" s="30">
        <v>10663610</v>
      </c>
      <c r="E115" s="29">
        <v>9093990.2699999996</v>
      </c>
      <c r="F115" s="29">
        <f t="shared" si="35"/>
        <v>-1569619.7300000004</v>
      </c>
      <c r="G115" s="23">
        <f t="shared" si="33"/>
        <v>85.280597002328477</v>
      </c>
      <c r="H115" s="23">
        <f t="shared" si="34"/>
        <v>39.135987459600891</v>
      </c>
    </row>
    <row r="116" spans="1:8" s="1" customFormat="1" ht="28.5" x14ac:dyDescent="0.25">
      <c r="A116" s="20" t="s">
        <v>34</v>
      </c>
      <c r="B116" s="21">
        <f>B117+B119+B122</f>
        <v>488629132</v>
      </c>
      <c r="C116" s="21">
        <f>C117+C119+C122</f>
        <v>625813623</v>
      </c>
      <c r="D116" s="22">
        <f t="shared" ref="D116:E116" si="52">D117+D119+D122</f>
        <v>228657197</v>
      </c>
      <c r="E116" s="21">
        <f t="shared" si="52"/>
        <v>220985594.92000002</v>
      </c>
      <c r="F116" s="21">
        <f t="shared" si="35"/>
        <v>-7671602.0799999833</v>
      </c>
      <c r="G116" s="24">
        <f t="shared" si="33"/>
        <v>96.644933034843433</v>
      </c>
      <c r="H116" s="24">
        <f t="shared" si="34"/>
        <v>35.311726494646791</v>
      </c>
    </row>
    <row r="117" spans="1:8" s="3" customFormat="1" x14ac:dyDescent="0.25">
      <c r="A117" s="25" t="s">
        <v>10</v>
      </c>
      <c r="B117" s="26">
        <f t="shared" ref="B117:D117" si="53">B118</f>
        <v>263685932</v>
      </c>
      <c r="C117" s="26">
        <f t="shared" si="53"/>
        <v>291374219</v>
      </c>
      <c r="D117" s="27">
        <f t="shared" si="53"/>
        <v>114118536</v>
      </c>
      <c r="E117" s="26">
        <f>E118</f>
        <v>113740135.52</v>
      </c>
      <c r="F117" s="26">
        <f t="shared" si="35"/>
        <v>-378400.48000000417</v>
      </c>
      <c r="G117" s="24">
        <f t="shared" si="33"/>
        <v>99.66841453346369</v>
      </c>
      <c r="H117" s="24">
        <f t="shared" si="34"/>
        <v>39.035758177356108</v>
      </c>
    </row>
    <row r="118" spans="1:8" ht="30" x14ac:dyDescent="0.25">
      <c r="A118" s="28" t="s">
        <v>3</v>
      </c>
      <c r="B118" s="29">
        <v>263685932</v>
      </c>
      <c r="C118" s="29">
        <v>291374219</v>
      </c>
      <c r="D118" s="30">
        <v>114118536</v>
      </c>
      <c r="E118" s="29">
        <v>113740135.52</v>
      </c>
      <c r="F118" s="29">
        <f t="shared" si="35"/>
        <v>-378400.48000000417</v>
      </c>
      <c r="G118" s="23">
        <f t="shared" si="33"/>
        <v>99.66841453346369</v>
      </c>
      <c r="H118" s="23">
        <f t="shared" si="34"/>
        <v>39.035758177356108</v>
      </c>
    </row>
    <row r="119" spans="1:8" s="3" customFormat="1" x14ac:dyDescent="0.25">
      <c r="A119" s="25" t="s">
        <v>11</v>
      </c>
      <c r="B119" s="26">
        <f t="shared" ref="B119" si="54">SUM(B120:B121)</f>
        <v>222955600</v>
      </c>
      <c r="C119" s="26">
        <f>SUM(C120:C121)</f>
        <v>317853930</v>
      </c>
      <c r="D119" s="27">
        <f>SUM(D120:D121)</f>
        <v>113500124</v>
      </c>
      <c r="E119" s="26">
        <f>SUM(E120:E121)</f>
        <v>107245459.40000001</v>
      </c>
      <c r="F119" s="26">
        <f t="shared" si="35"/>
        <v>-6254664.599999994</v>
      </c>
      <c r="G119" s="24">
        <f t="shared" si="33"/>
        <v>94.489288311262115</v>
      </c>
      <c r="H119" s="24">
        <f t="shared" si="34"/>
        <v>33.740485574615988</v>
      </c>
    </row>
    <row r="120" spans="1:8" ht="30" x14ac:dyDescent="0.25">
      <c r="A120" s="28" t="s">
        <v>24</v>
      </c>
      <c r="B120" s="29">
        <v>0</v>
      </c>
      <c r="C120" s="29">
        <v>7978654</v>
      </c>
      <c r="D120" s="30">
        <v>2357124</v>
      </c>
      <c r="E120" s="29">
        <v>2296281.5099999998</v>
      </c>
      <c r="F120" s="29">
        <f t="shared" si="35"/>
        <v>-60842.490000000224</v>
      </c>
      <c r="G120" s="23">
        <f t="shared" si="33"/>
        <v>97.418782804807876</v>
      </c>
      <c r="H120" s="23">
        <f t="shared" si="34"/>
        <v>28.780311942340148</v>
      </c>
    </row>
    <row r="121" spans="1:8" ht="30" x14ac:dyDescent="0.25">
      <c r="A121" s="28" t="s">
        <v>3</v>
      </c>
      <c r="B121" s="29">
        <v>222955600</v>
      </c>
      <c r="C121" s="29">
        <v>309875276</v>
      </c>
      <c r="D121" s="30">
        <f>111143000</f>
        <v>111143000</v>
      </c>
      <c r="E121" s="29">
        <v>104949177.89</v>
      </c>
      <c r="F121" s="29">
        <f t="shared" si="35"/>
        <v>-6193822.1099999994</v>
      </c>
      <c r="G121" s="23">
        <f t="shared" si="33"/>
        <v>94.427159506221713</v>
      </c>
      <c r="H121" s="23">
        <f t="shared" si="34"/>
        <v>33.868199891494413</v>
      </c>
    </row>
    <row r="122" spans="1:8" s="3" customFormat="1" x14ac:dyDescent="0.25">
      <c r="A122" s="25" t="s">
        <v>53</v>
      </c>
      <c r="B122" s="26">
        <f>B123</f>
        <v>1987600</v>
      </c>
      <c r="C122" s="26">
        <f>C123</f>
        <v>16585474</v>
      </c>
      <c r="D122" s="27">
        <f t="shared" ref="D122:E122" si="55">D123</f>
        <v>1038537</v>
      </c>
      <c r="E122" s="26">
        <f t="shared" si="55"/>
        <v>0</v>
      </c>
      <c r="F122" s="26">
        <f t="shared" si="35"/>
        <v>-1038537</v>
      </c>
      <c r="G122" s="24">
        <f t="shared" si="33"/>
        <v>0</v>
      </c>
      <c r="H122" s="24">
        <f t="shared" si="34"/>
        <v>0</v>
      </c>
    </row>
    <row r="123" spans="1:8" ht="30" x14ac:dyDescent="0.25">
      <c r="A123" s="28" t="s">
        <v>3</v>
      </c>
      <c r="B123" s="29">
        <v>1987600</v>
      </c>
      <c r="C123" s="29">
        <v>16585474</v>
      </c>
      <c r="D123" s="30">
        <v>1038537</v>
      </c>
      <c r="E123" s="29">
        <v>0</v>
      </c>
      <c r="F123" s="29">
        <f t="shared" si="35"/>
        <v>-1038537</v>
      </c>
      <c r="G123" s="23">
        <f t="shared" si="33"/>
        <v>0</v>
      </c>
      <c r="H123" s="23">
        <f t="shared" si="34"/>
        <v>0</v>
      </c>
    </row>
    <row r="124" spans="1:8" s="1" customFormat="1" ht="28.5" x14ac:dyDescent="0.25">
      <c r="A124" s="31" t="s">
        <v>35</v>
      </c>
      <c r="B124" s="21">
        <f>B125+B127</f>
        <v>69386800</v>
      </c>
      <c r="C124" s="21">
        <f>C125+C127</f>
        <v>70638634</v>
      </c>
      <c r="D124" s="22">
        <f t="shared" ref="D124:E124" si="56">D125+D127</f>
        <v>32602058</v>
      </c>
      <c r="E124" s="21">
        <f t="shared" si="56"/>
        <v>29787416.039999995</v>
      </c>
      <c r="F124" s="21">
        <f t="shared" si="35"/>
        <v>-2814641.9600000046</v>
      </c>
      <c r="G124" s="24">
        <f t="shared" si="33"/>
        <v>91.366673968864163</v>
      </c>
      <c r="H124" s="24">
        <f t="shared" si="34"/>
        <v>42.168731688667698</v>
      </c>
    </row>
    <row r="125" spans="1:8" s="3" customFormat="1" ht="30" x14ac:dyDescent="0.25">
      <c r="A125" s="34" t="s">
        <v>5</v>
      </c>
      <c r="B125" s="26">
        <f t="shared" ref="B125:D125" si="57">B126</f>
        <v>67767800</v>
      </c>
      <c r="C125" s="26">
        <f t="shared" si="57"/>
        <v>69019634</v>
      </c>
      <c r="D125" s="27">
        <f t="shared" si="57"/>
        <v>31281139</v>
      </c>
      <c r="E125" s="26">
        <f>E126</f>
        <v>28547403.049999997</v>
      </c>
      <c r="F125" s="26">
        <f t="shared" si="35"/>
        <v>-2733735.950000003</v>
      </c>
      <c r="G125" s="24">
        <f t="shared" si="33"/>
        <v>91.260753165030209</v>
      </c>
      <c r="H125" s="24">
        <f t="shared" si="34"/>
        <v>41.361278516776828</v>
      </c>
    </row>
    <row r="126" spans="1:8" x14ac:dyDescent="0.25">
      <c r="A126" s="32" t="s">
        <v>6</v>
      </c>
      <c r="B126" s="29">
        <v>67767800</v>
      </c>
      <c r="C126" s="29">
        <v>69019634</v>
      </c>
      <c r="D126" s="30">
        <f>27478239+3802900</f>
        <v>31281139</v>
      </c>
      <c r="E126" s="29">
        <v>28547403.049999997</v>
      </c>
      <c r="F126" s="29">
        <f t="shared" si="35"/>
        <v>-2733735.950000003</v>
      </c>
      <c r="G126" s="23">
        <f t="shared" si="33"/>
        <v>91.260753165030209</v>
      </c>
      <c r="H126" s="23">
        <f t="shared" si="34"/>
        <v>41.361278516776828</v>
      </c>
    </row>
    <row r="127" spans="1:8" s="3" customFormat="1" ht="30" x14ac:dyDescent="0.25">
      <c r="A127" s="34" t="s">
        <v>64</v>
      </c>
      <c r="B127" s="26">
        <f>B128</f>
        <v>1619000</v>
      </c>
      <c r="C127" s="26">
        <f>C128</f>
        <v>1619000</v>
      </c>
      <c r="D127" s="27">
        <f t="shared" ref="D127:E127" si="58">D128</f>
        <v>1320919</v>
      </c>
      <c r="E127" s="26">
        <f t="shared" si="58"/>
        <v>1240012.99</v>
      </c>
      <c r="F127" s="26">
        <f t="shared" ref="F127:F128" si="59">E127-D127</f>
        <v>-80906.010000000009</v>
      </c>
      <c r="G127" s="24">
        <f t="shared" si="33"/>
        <v>93.875021102732262</v>
      </c>
      <c r="H127" s="24">
        <f t="shared" si="34"/>
        <v>76.591290302655963</v>
      </c>
    </row>
    <row r="128" spans="1:8" x14ac:dyDescent="0.25">
      <c r="A128" s="32" t="s">
        <v>6</v>
      </c>
      <c r="B128" s="29">
        <v>1619000</v>
      </c>
      <c r="C128" s="29">
        <v>1619000</v>
      </c>
      <c r="D128" s="30">
        <v>1320919</v>
      </c>
      <c r="E128" s="29">
        <v>1240012.99</v>
      </c>
      <c r="F128" s="29">
        <f t="shared" si="59"/>
        <v>-80906.010000000009</v>
      </c>
      <c r="G128" s="23">
        <f t="shared" si="33"/>
        <v>93.875021102732262</v>
      </c>
      <c r="H128" s="23">
        <f t="shared" si="34"/>
        <v>76.591290302655963</v>
      </c>
    </row>
    <row r="129" spans="1:8" s="1" customFormat="1" ht="28.5" x14ac:dyDescent="0.25">
      <c r="A129" s="31" t="s">
        <v>36</v>
      </c>
      <c r="B129" s="21">
        <f>SUM(B130:B131)</f>
        <v>55344300</v>
      </c>
      <c r="C129" s="21">
        <f>SUM(C130:C131)</f>
        <v>85468392</v>
      </c>
      <c r="D129" s="22">
        <f t="shared" ref="D129:E129" si="60">SUM(D130:D131)</f>
        <v>38178032</v>
      </c>
      <c r="E129" s="21">
        <f t="shared" si="60"/>
        <v>34270791.310000002</v>
      </c>
      <c r="F129" s="21">
        <f t="shared" si="35"/>
        <v>-3907240.6899999976</v>
      </c>
      <c r="G129" s="24">
        <f t="shared" si="33"/>
        <v>89.765735724670151</v>
      </c>
      <c r="H129" s="24">
        <f t="shared" si="34"/>
        <v>40.09762031090979</v>
      </c>
    </row>
    <row r="130" spans="1:8" ht="30" x14ac:dyDescent="0.25">
      <c r="A130" s="28" t="s">
        <v>26</v>
      </c>
      <c r="B130" s="29">
        <v>53314300</v>
      </c>
      <c r="C130" s="29">
        <v>82051106</v>
      </c>
      <c r="D130" s="30">
        <f>13537539+22560657+592550</f>
        <v>36690746</v>
      </c>
      <c r="E130" s="29">
        <v>34257043.310000002</v>
      </c>
      <c r="F130" s="29">
        <f t="shared" si="35"/>
        <v>-2433702.6899999976</v>
      </c>
      <c r="G130" s="23">
        <f t="shared" si="33"/>
        <v>93.366984988530902</v>
      </c>
      <c r="H130" s="23">
        <f t="shared" si="34"/>
        <v>41.750861115753885</v>
      </c>
    </row>
    <row r="131" spans="1:8" ht="30" x14ac:dyDescent="0.25">
      <c r="A131" s="28" t="s">
        <v>24</v>
      </c>
      <c r="B131" s="29">
        <v>2030000</v>
      </c>
      <c r="C131" s="29">
        <v>3417286</v>
      </c>
      <c r="D131" s="30">
        <f>100000+1387286</f>
        <v>1487286</v>
      </c>
      <c r="E131" s="29">
        <v>13748</v>
      </c>
      <c r="F131" s="29">
        <f t="shared" si="35"/>
        <v>-1473538</v>
      </c>
      <c r="G131" s="23">
        <f t="shared" si="33"/>
        <v>0.92436827886499295</v>
      </c>
      <c r="H131" s="23">
        <f t="shared" si="34"/>
        <v>0.40230756219994457</v>
      </c>
    </row>
    <row r="132" spans="1:8" s="1" customFormat="1" ht="42.75" x14ac:dyDescent="0.25">
      <c r="A132" s="31" t="s">
        <v>37</v>
      </c>
      <c r="B132" s="21">
        <f>B133</f>
        <v>553400</v>
      </c>
      <c r="C132" s="21">
        <f>C133</f>
        <v>553400</v>
      </c>
      <c r="D132" s="22">
        <f t="shared" ref="D132:E132" si="61">D133</f>
        <v>373400</v>
      </c>
      <c r="E132" s="21">
        <f t="shared" si="61"/>
        <v>269553.59999999998</v>
      </c>
      <c r="F132" s="21">
        <f t="shared" si="35"/>
        <v>-103846.40000000002</v>
      </c>
      <c r="G132" s="24">
        <f t="shared" si="33"/>
        <v>72.188966256025694</v>
      </c>
      <c r="H132" s="24">
        <f t="shared" si="34"/>
        <v>48.708637513552574</v>
      </c>
    </row>
    <row r="133" spans="1:8" s="3" customFormat="1" ht="45" x14ac:dyDescent="0.25">
      <c r="A133" s="34" t="s">
        <v>54</v>
      </c>
      <c r="B133" s="26">
        <f>SUM(B134:B136)</f>
        <v>553400</v>
      </c>
      <c r="C133" s="26">
        <f>SUM(C134:C136)</f>
        <v>553400</v>
      </c>
      <c r="D133" s="27">
        <f>SUM(D134:D136)</f>
        <v>373400</v>
      </c>
      <c r="E133" s="26">
        <f>SUM(E134:E136)</f>
        <v>269553.59999999998</v>
      </c>
      <c r="F133" s="26">
        <f t="shared" si="35"/>
        <v>-103846.40000000002</v>
      </c>
      <c r="G133" s="24">
        <f t="shared" si="33"/>
        <v>72.188966256025694</v>
      </c>
      <c r="H133" s="24">
        <f t="shared" si="34"/>
        <v>48.708637513552574</v>
      </c>
    </row>
    <row r="134" spans="1:8" x14ac:dyDescent="0.25">
      <c r="A134" s="32" t="s">
        <v>18</v>
      </c>
      <c r="B134" s="29">
        <v>104500</v>
      </c>
      <c r="C134" s="29">
        <v>104500</v>
      </c>
      <c r="D134" s="30">
        <v>104500</v>
      </c>
      <c r="E134" s="29">
        <v>104494</v>
      </c>
      <c r="F134" s="29">
        <f t="shared" si="35"/>
        <v>-6</v>
      </c>
      <c r="G134" s="23">
        <f t="shared" ref="G134:G144" si="62">(E134/D134)*100</f>
        <v>99.994258373205753</v>
      </c>
      <c r="H134" s="23">
        <f t="shared" ref="H134:H144" si="63">(E134/C134)*100</f>
        <v>99.994258373205753</v>
      </c>
    </row>
    <row r="135" spans="1:8" ht="30" x14ac:dyDescent="0.25">
      <c r="A135" s="32" t="s">
        <v>22</v>
      </c>
      <c r="B135" s="29">
        <v>360000</v>
      </c>
      <c r="C135" s="29">
        <v>360000</v>
      </c>
      <c r="D135" s="30">
        <f>70000+60000+50000</f>
        <v>180000</v>
      </c>
      <c r="E135" s="29">
        <v>76609.600000000006</v>
      </c>
      <c r="F135" s="29">
        <f t="shared" si="35"/>
        <v>-103390.39999999999</v>
      </c>
      <c r="G135" s="23">
        <f t="shared" si="62"/>
        <v>42.56088888888889</v>
      </c>
      <c r="H135" s="23">
        <f t="shared" si="63"/>
        <v>21.280444444444445</v>
      </c>
    </row>
    <row r="136" spans="1:8" x14ac:dyDescent="0.25">
      <c r="A136" s="33" t="s">
        <v>25</v>
      </c>
      <c r="B136" s="29">
        <v>88900</v>
      </c>
      <c r="C136" s="29">
        <v>88900</v>
      </c>
      <c r="D136" s="30">
        <v>88900</v>
      </c>
      <c r="E136" s="29">
        <v>88450</v>
      </c>
      <c r="F136" s="29">
        <f t="shared" si="35"/>
        <v>-450</v>
      </c>
      <c r="G136" s="23">
        <f t="shared" si="62"/>
        <v>99.493813273340834</v>
      </c>
      <c r="H136" s="23">
        <f t="shared" si="63"/>
        <v>99.493813273340834</v>
      </c>
    </row>
    <row r="137" spans="1:8" s="1" customFormat="1" ht="28.5" x14ac:dyDescent="0.25">
      <c r="A137" s="37" t="s">
        <v>65</v>
      </c>
      <c r="B137" s="21">
        <f>SUM(B138:B140)</f>
        <v>1500000</v>
      </c>
      <c r="C137" s="21">
        <f>SUM(C138:C140)</f>
        <v>8842401</v>
      </c>
      <c r="D137" s="22">
        <f t="shared" ref="D137:E137" si="64">SUM(D138:D140)</f>
        <v>3597309</v>
      </c>
      <c r="E137" s="21">
        <f t="shared" si="64"/>
        <v>1565566.2</v>
      </c>
      <c r="F137" s="21">
        <f t="shared" ref="F137:F140" si="65">E137-D137</f>
        <v>-2031742.8</v>
      </c>
      <c r="G137" s="24">
        <f t="shared" si="62"/>
        <v>43.520481559966072</v>
      </c>
      <c r="H137" s="24">
        <f t="shared" si="63"/>
        <v>17.705216038042156</v>
      </c>
    </row>
    <row r="138" spans="1:8" ht="30" x14ac:dyDescent="0.25">
      <c r="A138" s="32" t="s">
        <v>22</v>
      </c>
      <c r="B138" s="29">
        <v>500000</v>
      </c>
      <c r="C138" s="29">
        <v>2869650</v>
      </c>
      <c r="D138" s="30">
        <f>20000+1890309</f>
        <v>1910309</v>
      </c>
      <c r="E138" s="30">
        <v>737814.2</v>
      </c>
      <c r="F138" s="29">
        <f t="shared" si="65"/>
        <v>-1172494.8</v>
      </c>
      <c r="G138" s="23">
        <f t="shared" si="62"/>
        <v>38.622767311466362</v>
      </c>
      <c r="H138" s="23">
        <f t="shared" si="63"/>
        <v>25.710947328071367</v>
      </c>
    </row>
    <row r="139" spans="1:8" x14ac:dyDescent="0.25">
      <c r="A139" s="33" t="s">
        <v>25</v>
      </c>
      <c r="B139" s="29">
        <v>500000</v>
      </c>
      <c r="C139" s="29">
        <v>4872751</v>
      </c>
      <c r="D139" s="30">
        <f>107000+480000</f>
        <v>587000</v>
      </c>
      <c r="E139" s="30">
        <v>347752</v>
      </c>
      <c r="F139" s="29">
        <f t="shared" si="65"/>
        <v>-239248</v>
      </c>
      <c r="G139" s="23">
        <f t="shared" si="62"/>
        <v>59.242248722316873</v>
      </c>
      <c r="H139" s="23">
        <f t="shared" si="63"/>
        <v>7.1366667412309805</v>
      </c>
    </row>
    <row r="140" spans="1:8" ht="30" x14ac:dyDescent="0.25">
      <c r="A140" s="28" t="s">
        <v>4</v>
      </c>
      <c r="B140" s="29">
        <v>500000</v>
      </c>
      <c r="C140" s="29">
        <v>1100000</v>
      </c>
      <c r="D140" s="30">
        <f>20000+600000+480000</f>
        <v>1100000</v>
      </c>
      <c r="E140" s="30">
        <v>480000</v>
      </c>
      <c r="F140" s="29">
        <f t="shared" si="65"/>
        <v>-620000</v>
      </c>
      <c r="G140" s="23">
        <f t="shared" si="62"/>
        <v>43.636363636363633</v>
      </c>
      <c r="H140" s="23">
        <f t="shared" si="63"/>
        <v>43.636363636363633</v>
      </c>
    </row>
    <row r="141" spans="1:8" s="1" customFormat="1" ht="42.75" x14ac:dyDescent="0.25">
      <c r="A141" s="20" t="s">
        <v>38</v>
      </c>
      <c r="B141" s="21">
        <f t="shared" ref="B141:D141" si="66">SUM(B142:B143)</f>
        <v>4414200</v>
      </c>
      <c r="C141" s="21">
        <f t="shared" ref="C141" si="67">SUM(C142:C143)</f>
        <v>4608140</v>
      </c>
      <c r="D141" s="22">
        <f t="shared" si="66"/>
        <v>3721690</v>
      </c>
      <c r="E141" s="22">
        <f>SUM(E142:E143)</f>
        <v>2824814.92</v>
      </c>
      <c r="F141" s="21">
        <f t="shared" si="35"/>
        <v>-896875.08000000007</v>
      </c>
      <c r="G141" s="24">
        <f t="shared" si="62"/>
        <v>75.901402857304063</v>
      </c>
      <c r="H141" s="24">
        <f t="shared" si="63"/>
        <v>61.300544688312421</v>
      </c>
    </row>
    <row r="142" spans="1:8" x14ac:dyDescent="0.25">
      <c r="A142" s="28" t="s">
        <v>18</v>
      </c>
      <c r="B142" s="29">
        <v>2950000</v>
      </c>
      <c r="C142" s="29">
        <v>3143940</v>
      </c>
      <c r="D142" s="30">
        <f>2950000+1940</f>
        <v>2951940</v>
      </c>
      <c r="E142" s="30">
        <v>2100000</v>
      </c>
      <c r="F142" s="29">
        <f t="shared" si="35"/>
        <v>-851940</v>
      </c>
      <c r="G142" s="23">
        <f t="shared" si="62"/>
        <v>71.139657310107935</v>
      </c>
      <c r="H142" s="23">
        <f t="shared" si="63"/>
        <v>66.795167846714634</v>
      </c>
    </row>
    <row r="143" spans="1:8" ht="30" x14ac:dyDescent="0.25">
      <c r="A143" s="28" t="s">
        <v>22</v>
      </c>
      <c r="B143" s="29">
        <v>1464200</v>
      </c>
      <c r="C143" s="29">
        <v>1464200</v>
      </c>
      <c r="D143" s="30">
        <f>769750</f>
        <v>769750</v>
      </c>
      <c r="E143" s="30">
        <v>724814.92</v>
      </c>
      <c r="F143" s="29">
        <f t="shared" si="35"/>
        <v>-44935.079999999958</v>
      </c>
      <c r="G143" s="23">
        <f t="shared" si="62"/>
        <v>94.162379993504388</v>
      </c>
      <c r="H143" s="23">
        <f t="shared" si="63"/>
        <v>49.502453216773667</v>
      </c>
    </row>
    <row r="144" spans="1:8" s="1" customFormat="1" x14ac:dyDescent="0.25">
      <c r="A144" s="38" t="s">
        <v>16</v>
      </c>
      <c r="B144" s="39">
        <f>B5+B28+B36+B43+B52+B65+B88+B95+B106+B116+B124+B129+B132+B141+B21+B137</f>
        <v>9889035970</v>
      </c>
      <c r="C144" s="21">
        <f>C5+C28+C36+C43+C52+C65+C88+C95+C106+C116+C124+C129+C132+C141+C21+C137</f>
        <v>11069279690.41</v>
      </c>
      <c r="D144" s="22">
        <f>D5+D28+D36+D43+D52+D65+D88+D95+D106+D116+D124+D129+D132+D141+D21+D137</f>
        <v>4542779859.4099998</v>
      </c>
      <c r="E144" s="22">
        <f>E5+E28+E36+E43+E52+E65+E88+E95+E106+E116+E124+E129+E132+E141+E21+E137</f>
        <v>3593344331.7199998</v>
      </c>
      <c r="F144" s="21">
        <f t="shared" si="35"/>
        <v>-949435527.69000006</v>
      </c>
      <c r="G144" s="24">
        <f t="shared" si="62"/>
        <v>79.100120255149037</v>
      </c>
      <c r="H144" s="24">
        <f t="shared" si="63"/>
        <v>32.462314009764661</v>
      </c>
    </row>
    <row r="146" spans="2:8" x14ac:dyDescent="0.25">
      <c r="B146" s="8"/>
      <c r="C146" s="8"/>
      <c r="D146" s="8"/>
      <c r="E146" s="8"/>
      <c r="F146" s="8"/>
      <c r="G146" s="40"/>
      <c r="H146" s="43"/>
    </row>
    <row r="147" spans="2:8" x14ac:dyDescent="0.25">
      <c r="C147" s="5"/>
    </row>
    <row r="148" spans="2:8" x14ac:dyDescent="0.25">
      <c r="D148" s="8"/>
      <c r="E148" s="6"/>
      <c r="G148" s="40"/>
    </row>
  </sheetData>
  <autoFilter ref="A4:H144"/>
  <mergeCells count="1">
    <mergeCell ref="A1:G1"/>
  </mergeCells>
  <pageMargins left="0.51181102362204722" right="0.51181102362204722" top="0.74803149606299213" bottom="0.39370078740157483" header="0.31496062992125984" footer="0.31496062992125984"/>
  <pageSetup paperSize="9" scale="70" fitToWidth="0" fitToHeight="0" orientation="landscape" r:id="rId1"/>
  <headerFooter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программы</vt:lpstr>
      <vt:lpstr>Лист2</vt:lpstr>
      <vt:lpstr>Лист3</vt:lpstr>
      <vt:lpstr>программы!Заголовки_для_печати</vt:lpstr>
      <vt:lpstr>программы!Область_печати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2020-08-26T05:35:15Z</cp:lastPrinted>
  <dcterms:created xsi:type="dcterms:W3CDTF">2014-05-23T06:49:41Z</dcterms:created>
  <dcterms:modified xsi:type="dcterms:W3CDTF">2020-08-26T06:10:11Z</dcterms:modified>
</cp:coreProperties>
</file>