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ёт за 2019 год\приложения\"/>
    </mc:Choice>
  </mc:AlternateContent>
  <bookViews>
    <workbookView xWindow="9585" yWindow="465" windowWidth="9720" windowHeight="1194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доходы!$A$8:$W$73</definedName>
    <definedName name="_xlnm.Print_Titles" localSheetId="0">доходы!$6:$8</definedName>
    <definedName name="_xlnm.Print_Area" localSheetId="0">доходы!$A$1:$S$71</definedName>
  </definedNames>
  <calcPr calcId="152511"/>
</workbook>
</file>

<file path=xl/calcChain.xml><?xml version="1.0" encoding="utf-8"?>
<calcChain xmlns="http://schemas.openxmlformats.org/spreadsheetml/2006/main">
  <c r="Q12" i="5" l="1"/>
  <c r="Q9" i="5"/>
  <c r="R9" i="5"/>
  <c r="P61" i="5" l="1"/>
  <c r="N9" i="5"/>
  <c r="N71" i="5"/>
  <c r="H32" i="5" l="1"/>
  <c r="P64" i="5"/>
  <c r="Q61" i="5"/>
  <c r="Q71" i="5"/>
  <c r="R71" i="5"/>
  <c r="Q10" i="5"/>
  <c r="Q14" i="5"/>
  <c r="Q15" i="5"/>
  <c r="Q16" i="5"/>
  <c r="Q17" i="5"/>
  <c r="Q19" i="5"/>
  <c r="Q20" i="5"/>
  <c r="Q22" i="5"/>
  <c r="Q23" i="5"/>
  <c r="Q26" i="5"/>
  <c r="Q27" i="5"/>
  <c r="Q28" i="5"/>
  <c r="Q29" i="5"/>
  <c r="Q31" i="5"/>
  <c r="Q33" i="5"/>
  <c r="Q34" i="5"/>
  <c r="Q36" i="5"/>
  <c r="Q37" i="5"/>
  <c r="Q38" i="5"/>
  <c r="Q40" i="5"/>
  <c r="Q41" i="5"/>
  <c r="Q43" i="5"/>
  <c r="Q44" i="5"/>
  <c r="Q45" i="5"/>
  <c r="Q47" i="5"/>
  <c r="Q49" i="5"/>
  <c r="Q50" i="5"/>
  <c r="Q51" i="5"/>
  <c r="Q52" i="5"/>
  <c r="Q53" i="5"/>
  <c r="Q54" i="5"/>
  <c r="Q55" i="5"/>
  <c r="Q56" i="5"/>
  <c r="Q57" i="5"/>
  <c r="Q62" i="5"/>
  <c r="Q63" i="5"/>
  <c r="Q64" i="5"/>
  <c r="Q65" i="5"/>
  <c r="Q67" i="5"/>
  <c r="Q68" i="5"/>
  <c r="Q69" i="5"/>
  <c r="Q70" i="5"/>
  <c r="R56" i="5" l="1"/>
  <c r="T25" i="5" l="1"/>
  <c r="T55" i="5"/>
  <c r="T56" i="5"/>
  <c r="T54" i="5"/>
  <c r="T44" i="5"/>
  <c r="T49" i="5"/>
  <c r="T47" i="5"/>
  <c r="T34" i="5"/>
  <c r="T33" i="5"/>
  <c r="T27" i="5"/>
  <c r="T69" i="5"/>
  <c r="T51" i="5"/>
  <c r="T20" i="5"/>
  <c r="T15" i="5"/>
  <c r="T14" i="5"/>
  <c r="T10" i="5" l="1"/>
  <c r="O11" i="5"/>
  <c r="T12" i="5"/>
  <c r="T37" i="5"/>
  <c r="O25" i="5"/>
  <c r="T70" i="5"/>
  <c r="U70" i="5" s="1"/>
  <c r="T65" i="5"/>
  <c r="U65" i="5" s="1"/>
  <c r="T64" i="5"/>
  <c r="U64" i="5" s="1"/>
  <c r="T63" i="5"/>
  <c r="T62" i="5"/>
  <c r="T32" i="5"/>
  <c r="T11" i="5"/>
  <c r="T13" i="5"/>
  <c r="O13" i="5"/>
  <c r="U10" i="5"/>
  <c r="U12" i="5"/>
  <c r="U14" i="5"/>
  <c r="U15" i="5"/>
  <c r="U16" i="5"/>
  <c r="U17" i="5"/>
  <c r="U19" i="5"/>
  <c r="U20" i="5"/>
  <c r="U22" i="5"/>
  <c r="U23" i="5"/>
  <c r="U26" i="5"/>
  <c r="U27" i="5"/>
  <c r="U28" i="5"/>
  <c r="U29" i="5"/>
  <c r="U31" i="5"/>
  <c r="U33" i="5"/>
  <c r="U34" i="5"/>
  <c r="U36" i="5"/>
  <c r="U37" i="5"/>
  <c r="U38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9" i="5"/>
  <c r="U60" i="5"/>
  <c r="U62" i="5"/>
  <c r="U63" i="5"/>
  <c r="U66" i="5"/>
  <c r="U67" i="5"/>
  <c r="U68" i="5"/>
  <c r="U69" i="5"/>
  <c r="T58" i="5"/>
  <c r="T39" i="5"/>
  <c r="T35" i="5"/>
  <c r="T30" i="5"/>
  <c r="T21" i="5"/>
  <c r="T18" i="5"/>
  <c r="U11" i="5" l="1"/>
  <c r="U13" i="5"/>
  <c r="U25" i="5"/>
  <c r="T61" i="5"/>
  <c r="T24" i="5"/>
  <c r="T9" i="5"/>
  <c r="E60" i="5"/>
  <c r="L60" i="5"/>
  <c r="N60" i="5"/>
  <c r="R60" i="5"/>
  <c r="S60" i="5"/>
  <c r="R48" i="5"/>
  <c r="S48" i="5"/>
  <c r="R42" i="5"/>
  <c r="S42" i="5"/>
  <c r="T71" i="5" l="1"/>
  <c r="J61" i="5"/>
  <c r="K61" i="5"/>
  <c r="L10" i="5"/>
  <c r="L12" i="5"/>
  <c r="L14" i="5"/>
  <c r="L15" i="5"/>
  <c r="L16" i="5"/>
  <c r="L17" i="5"/>
  <c r="L19" i="5"/>
  <c r="L20" i="5"/>
  <c r="L22" i="5"/>
  <c r="L23" i="5"/>
  <c r="L26" i="5"/>
  <c r="L27" i="5"/>
  <c r="L28" i="5"/>
  <c r="L29" i="5"/>
  <c r="L31" i="5"/>
  <c r="L33" i="5"/>
  <c r="L34" i="5"/>
  <c r="L36" i="5"/>
  <c r="L37" i="5"/>
  <c r="L38" i="5"/>
  <c r="L40" i="5"/>
  <c r="L41" i="5"/>
  <c r="L43" i="5"/>
  <c r="L44" i="5"/>
  <c r="L45" i="5"/>
  <c r="L46" i="5"/>
  <c r="L47" i="5"/>
  <c r="L49" i="5"/>
  <c r="L50" i="5"/>
  <c r="L51" i="5"/>
  <c r="L52" i="5"/>
  <c r="L53" i="5"/>
  <c r="L54" i="5"/>
  <c r="L55" i="5"/>
  <c r="L56" i="5"/>
  <c r="L57" i="5"/>
  <c r="L59" i="5"/>
  <c r="L62" i="5"/>
  <c r="L63" i="5"/>
  <c r="L64" i="5"/>
  <c r="L65" i="5"/>
  <c r="L66" i="5"/>
  <c r="L67" i="5"/>
  <c r="L68" i="5"/>
  <c r="L69" i="5"/>
  <c r="L70" i="5"/>
  <c r="N10" i="5"/>
  <c r="N12" i="5"/>
  <c r="N14" i="5"/>
  <c r="N15" i="5"/>
  <c r="N16" i="5"/>
  <c r="N17" i="5"/>
  <c r="N19" i="5"/>
  <c r="N20" i="5"/>
  <c r="N22" i="5"/>
  <c r="N23" i="5"/>
  <c r="N26" i="5"/>
  <c r="N27" i="5"/>
  <c r="N28" i="5"/>
  <c r="N29" i="5"/>
  <c r="N31" i="5"/>
  <c r="N33" i="5"/>
  <c r="N34" i="5"/>
  <c r="N36" i="5"/>
  <c r="N37" i="5"/>
  <c r="N38" i="5"/>
  <c r="N40" i="5"/>
  <c r="N41" i="5"/>
  <c r="N43" i="5"/>
  <c r="N44" i="5"/>
  <c r="N45" i="5"/>
  <c r="N46" i="5"/>
  <c r="N47" i="5"/>
  <c r="N49" i="5"/>
  <c r="N50" i="5"/>
  <c r="N51" i="5"/>
  <c r="N52" i="5"/>
  <c r="N53" i="5"/>
  <c r="N54" i="5"/>
  <c r="N55" i="5"/>
  <c r="N56" i="5"/>
  <c r="N57" i="5"/>
  <c r="N59" i="5"/>
  <c r="N62" i="5"/>
  <c r="N63" i="5"/>
  <c r="N64" i="5"/>
  <c r="N65" i="5"/>
  <c r="N66" i="5"/>
  <c r="N67" i="5"/>
  <c r="N68" i="5"/>
  <c r="N69" i="5"/>
  <c r="N70" i="5"/>
  <c r="H65" i="5"/>
  <c r="R10" i="5"/>
  <c r="R12" i="5"/>
  <c r="R15" i="5"/>
  <c r="R16" i="5"/>
  <c r="R17" i="5"/>
  <c r="R19" i="5"/>
  <c r="R20" i="5"/>
  <c r="R22" i="5"/>
  <c r="R26" i="5"/>
  <c r="R27" i="5"/>
  <c r="R28" i="5"/>
  <c r="R29" i="5"/>
  <c r="R31" i="5"/>
  <c r="R33" i="5"/>
  <c r="R34" i="5"/>
  <c r="R36" i="5"/>
  <c r="R37" i="5"/>
  <c r="R38" i="5"/>
  <c r="R40" i="5"/>
  <c r="R41" i="5"/>
  <c r="R43" i="5"/>
  <c r="R44" i="5"/>
  <c r="R45" i="5"/>
  <c r="R46" i="5"/>
  <c r="R47" i="5"/>
  <c r="R49" i="5"/>
  <c r="R50" i="5"/>
  <c r="R51" i="5"/>
  <c r="R52" i="5"/>
  <c r="R53" i="5"/>
  <c r="R54" i="5"/>
  <c r="R55" i="5"/>
  <c r="R57" i="5"/>
  <c r="R59" i="5"/>
  <c r="R62" i="5"/>
  <c r="R63" i="5"/>
  <c r="R64" i="5"/>
  <c r="R65" i="5"/>
  <c r="R66" i="5"/>
  <c r="R67" i="5"/>
  <c r="R68" i="5"/>
  <c r="R69" i="5"/>
  <c r="R70" i="5"/>
  <c r="K58" i="5"/>
  <c r="N58" i="5" s="1"/>
  <c r="K39" i="5"/>
  <c r="K35" i="5"/>
  <c r="K32" i="5"/>
  <c r="K30" i="5"/>
  <c r="K25" i="5"/>
  <c r="Q25" i="5" s="1"/>
  <c r="K21" i="5"/>
  <c r="K18" i="5"/>
  <c r="K13" i="5"/>
  <c r="Q13" i="5" s="1"/>
  <c r="K11" i="5"/>
  <c r="Q11" i="5" s="1"/>
  <c r="L61" i="5" l="1"/>
  <c r="K24" i="5"/>
  <c r="K9" i="5"/>
  <c r="K71" i="5" l="1"/>
  <c r="M71" i="5"/>
  <c r="M67" i="5"/>
  <c r="M51" i="5"/>
  <c r="M46" i="5"/>
  <c r="M37" i="5"/>
  <c r="M29" i="5"/>
  <c r="M64" i="5"/>
  <c r="M52" i="5"/>
  <c r="M22" i="5"/>
  <c r="M10" i="5"/>
  <c r="M70" i="5"/>
  <c r="M54" i="5"/>
  <c r="M50" i="5"/>
  <c r="M40" i="5"/>
  <c r="M36" i="5"/>
  <c r="M28" i="5"/>
  <c r="M16" i="5"/>
  <c r="M12" i="5"/>
  <c r="M68" i="5"/>
  <c r="M47" i="5"/>
  <c r="M38" i="5"/>
  <c r="M26" i="5"/>
  <c r="M69" i="5"/>
  <c r="M65" i="5"/>
  <c r="M57" i="5"/>
  <c r="M49" i="5"/>
  <c r="M44" i="5"/>
  <c r="M31" i="5"/>
  <c r="M23" i="5"/>
  <c r="M19" i="5"/>
  <c r="M15" i="5"/>
  <c r="M30" i="5"/>
  <c r="M18" i="5"/>
  <c r="M39" i="5"/>
  <c r="M58" i="5"/>
  <c r="M21" i="5"/>
  <c r="M13" i="5"/>
  <c r="M35" i="5"/>
  <c r="M25" i="5"/>
  <c r="M11" i="5"/>
  <c r="M24" i="5"/>
  <c r="M60" i="5" l="1"/>
  <c r="M62" i="5"/>
  <c r="M43" i="5"/>
  <c r="M33" i="5"/>
  <c r="M55" i="5"/>
  <c r="M9" i="5"/>
  <c r="M32" i="5"/>
  <c r="M61" i="5"/>
  <c r="M27" i="5"/>
  <c r="M53" i="5"/>
  <c r="M14" i="5"/>
  <c r="M56" i="5"/>
  <c r="M20" i="5"/>
  <c r="M45" i="5"/>
  <c r="M66" i="5"/>
  <c r="M34" i="5"/>
  <c r="M17" i="5"/>
  <c r="M41" i="5"/>
  <c r="M59" i="5"/>
  <c r="M63" i="5"/>
  <c r="J25" i="5"/>
  <c r="L25" i="5" s="1"/>
  <c r="S67" i="5"/>
  <c r="S68" i="5"/>
  <c r="I35" i="5" l="1"/>
  <c r="N35" i="5" s="1"/>
  <c r="I39" i="5"/>
  <c r="N39" i="5" s="1"/>
  <c r="I30" i="5" l="1"/>
  <c r="N30" i="5" s="1"/>
  <c r="I13" i="5"/>
  <c r="N13" i="5" s="1"/>
  <c r="H70" i="5" l="1"/>
  <c r="E70" i="5"/>
  <c r="H69" i="5"/>
  <c r="E69" i="5"/>
  <c r="H66" i="5"/>
  <c r="E66" i="5"/>
  <c r="E65" i="5"/>
  <c r="H64" i="5"/>
  <c r="E64" i="5"/>
  <c r="H63" i="5"/>
  <c r="E63" i="5"/>
  <c r="H62" i="5"/>
  <c r="E62" i="5"/>
  <c r="F61" i="5"/>
  <c r="C61" i="5"/>
  <c r="B61" i="5"/>
  <c r="E59" i="5"/>
  <c r="F58" i="5"/>
  <c r="C58" i="5"/>
  <c r="E58" i="5" s="1"/>
  <c r="H57" i="5"/>
  <c r="E57" i="5"/>
  <c r="H56" i="5"/>
  <c r="E56" i="5"/>
  <c r="H55" i="5"/>
  <c r="E55" i="5"/>
  <c r="H54" i="5"/>
  <c r="E54" i="5"/>
  <c r="H53" i="5"/>
  <c r="E53" i="5"/>
  <c r="H52" i="5"/>
  <c r="E52" i="5"/>
  <c r="H51" i="5"/>
  <c r="E51" i="5"/>
  <c r="H50" i="5"/>
  <c r="E50" i="5"/>
  <c r="H49" i="5"/>
  <c r="E49" i="5"/>
  <c r="H47" i="5"/>
  <c r="E47" i="5"/>
  <c r="H46" i="5"/>
  <c r="E46" i="5"/>
  <c r="H45" i="5"/>
  <c r="E45" i="5"/>
  <c r="H44" i="5"/>
  <c r="E44" i="5"/>
  <c r="H43" i="5"/>
  <c r="E43" i="5"/>
  <c r="H41" i="5"/>
  <c r="E41" i="5"/>
  <c r="H40" i="5"/>
  <c r="E40" i="5"/>
  <c r="F39" i="5"/>
  <c r="C39" i="5"/>
  <c r="B39" i="5"/>
  <c r="H38" i="5"/>
  <c r="E38" i="5"/>
  <c r="H37" i="5"/>
  <c r="E37" i="5"/>
  <c r="H36" i="5"/>
  <c r="E36" i="5"/>
  <c r="F35" i="5"/>
  <c r="C35" i="5"/>
  <c r="B35" i="5"/>
  <c r="H34" i="5"/>
  <c r="E34" i="5"/>
  <c r="H33" i="5"/>
  <c r="E33" i="5"/>
  <c r="F32" i="5"/>
  <c r="C32" i="5"/>
  <c r="B32" i="5"/>
  <c r="H31" i="5"/>
  <c r="E31" i="5"/>
  <c r="F30" i="5"/>
  <c r="C30" i="5"/>
  <c r="B30" i="5"/>
  <c r="H29" i="5"/>
  <c r="E29" i="5"/>
  <c r="H28" i="5"/>
  <c r="E28" i="5"/>
  <c r="H27" i="5"/>
  <c r="E27" i="5"/>
  <c r="H26" i="5"/>
  <c r="E26" i="5"/>
  <c r="F25" i="5"/>
  <c r="H25" i="5" s="1"/>
  <c r="C25" i="5"/>
  <c r="B25" i="5"/>
  <c r="F23" i="5"/>
  <c r="E23" i="5"/>
  <c r="H22" i="5"/>
  <c r="E22" i="5"/>
  <c r="C21" i="5"/>
  <c r="B21" i="5"/>
  <c r="H20" i="5"/>
  <c r="E20" i="5"/>
  <c r="H19" i="5"/>
  <c r="E19" i="5"/>
  <c r="F18" i="5"/>
  <c r="C18" i="5"/>
  <c r="B18" i="5"/>
  <c r="H17" i="5"/>
  <c r="E17" i="5"/>
  <c r="H16" i="5"/>
  <c r="E16" i="5"/>
  <c r="H15" i="5"/>
  <c r="E15" i="5"/>
  <c r="F14" i="5"/>
  <c r="H14" i="5" s="1"/>
  <c r="E14" i="5"/>
  <c r="C13" i="5"/>
  <c r="B13" i="5"/>
  <c r="H12" i="5"/>
  <c r="E12" i="5"/>
  <c r="F11" i="5"/>
  <c r="C11" i="5"/>
  <c r="B11" i="5"/>
  <c r="H10" i="5"/>
  <c r="E10" i="5"/>
  <c r="E11" i="5" l="1"/>
  <c r="E25" i="5"/>
  <c r="H11" i="5"/>
  <c r="H35" i="5"/>
  <c r="E39" i="5"/>
  <c r="C24" i="5"/>
  <c r="B9" i="5"/>
  <c r="E13" i="5"/>
  <c r="H30" i="5"/>
  <c r="H39" i="5"/>
  <c r="F13" i="5"/>
  <c r="H13" i="5" s="1"/>
  <c r="E18" i="5"/>
  <c r="E30" i="5"/>
  <c r="E32" i="5"/>
  <c r="E61" i="5"/>
  <c r="H18" i="5"/>
  <c r="E21" i="5"/>
  <c r="H23" i="5"/>
  <c r="E35" i="5"/>
  <c r="H61" i="5"/>
  <c r="C9" i="5"/>
  <c r="F21" i="5"/>
  <c r="B24" i="5"/>
  <c r="F24" i="5"/>
  <c r="O58" i="5"/>
  <c r="O39" i="5"/>
  <c r="R25" i="5"/>
  <c r="O61" i="5"/>
  <c r="I21" i="5"/>
  <c r="N21" i="5" s="1"/>
  <c r="I11" i="5"/>
  <c r="N11" i="5" s="1"/>
  <c r="S55" i="5"/>
  <c r="R39" i="5" l="1"/>
  <c r="Q39" i="5"/>
  <c r="U39" i="5"/>
  <c r="R58" i="5"/>
  <c r="U58" i="5"/>
  <c r="R61" i="5"/>
  <c r="U61" i="5"/>
  <c r="E24" i="5"/>
  <c r="O21" i="5"/>
  <c r="R23" i="5"/>
  <c r="R14" i="5"/>
  <c r="H24" i="5"/>
  <c r="B71" i="5"/>
  <c r="H21" i="5"/>
  <c r="C71" i="5"/>
  <c r="E9" i="5"/>
  <c r="F9" i="5"/>
  <c r="S46" i="5"/>
  <c r="R21" i="5" l="1"/>
  <c r="Q21" i="5"/>
  <c r="U21" i="5"/>
  <c r="D71" i="5"/>
  <c r="D60" i="5"/>
  <c r="D9" i="5"/>
  <c r="D57" i="5"/>
  <c r="D56" i="5"/>
  <c r="D55" i="5"/>
  <c r="D54" i="5"/>
  <c r="D53" i="5"/>
  <c r="D52" i="5"/>
  <c r="D51" i="5"/>
  <c r="D50" i="5"/>
  <c r="D49" i="5"/>
  <c r="D47" i="5"/>
  <c r="D46" i="5"/>
  <c r="D45" i="5"/>
  <c r="D44" i="5"/>
  <c r="D43" i="5"/>
  <c r="D41" i="5"/>
  <c r="D40" i="5"/>
  <c r="D29" i="5"/>
  <c r="D28" i="5"/>
  <c r="D27" i="5"/>
  <c r="D26" i="5"/>
  <c r="D70" i="5"/>
  <c r="D69" i="5"/>
  <c r="D66" i="5"/>
  <c r="D65" i="5"/>
  <c r="D64" i="5"/>
  <c r="D63" i="5"/>
  <c r="D62" i="5"/>
  <c r="D34" i="5"/>
  <c r="D33" i="5"/>
  <c r="D30" i="5"/>
  <c r="D20" i="5"/>
  <c r="D19" i="5"/>
  <c r="D14" i="5"/>
  <c r="D11" i="5"/>
  <c r="D31" i="5"/>
  <c r="D25" i="5"/>
  <c r="D17" i="5"/>
  <c r="D16" i="5"/>
  <c r="E71" i="5"/>
  <c r="D61" i="5"/>
  <c r="D59" i="5"/>
  <c r="D58" i="5"/>
  <c r="D38" i="5"/>
  <c r="D37" i="5"/>
  <c r="D36" i="5"/>
  <c r="D32" i="5"/>
  <c r="D23" i="5"/>
  <c r="D22" i="5"/>
  <c r="D18" i="5"/>
  <c r="D10" i="5"/>
  <c r="D39" i="5"/>
  <c r="D15" i="5"/>
  <c r="D12" i="5"/>
  <c r="D21" i="5"/>
  <c r="D13" i="5"/>
  <c r="D35" i="5"/>
  <c r="D24" i="5"/>
  <c r="F71" i="5"/>
  <c r="G60" i="5" s="1"/>
  <c r="H9" i="5"/>
  <c r="J13" i="5"/>
  <c r="L13" i="5" s="1"/>
  <c r="J39" i="5"/>
  <c r="L39" i="5" s="1"/>
  <c r="H71" i="5" l="1"/>
  <c r="G70" i="5"/>
  <c r="G69" i="5"/>
  <c r="G66" i="5"/>
  <c r="G65" i="5"/>
  <c r="G64" i="5"/>
  <c r="G63" i="5"/>
  <c r="G62" i="5"/>
  <c r="G34" i="5"/>
  <c r="G33" i="5"/>
  <c r="G20" i="5"/>
  <c r="G19" i="5"/>
  <c r="G71" i="5"/>
  <c r="G57" i="5"/>
  <c r="G56" i="5"/>
  <c r="G55" i="5"/>
  <c r="G54" i="5"/>
  <c r="G53" i="5"/>
  <c r="G52" i="5"/>
  <c r="G51" i="5"/>
  <c r="G50" i="5"/>
  <c r="G49" i="5"/>
  <c r="G47" i="5"/>
  <c r="G46" i="5"/>
  <c r="G45" i="5"/>
  <c r="G44" i="5"/>
  <c r="G43" i="5"/>
  <c r="G41" i="5"/>
  <c r="G40" i="5"/>
  <c r="G29" i="5"/>
  <c r="G28" i="5"/>
  <c r="G27" i="5"/>
  <c r="G26" i="5"/>
  <c r="G10" i="5"/>
  <c r="G59" i="5"/>
  <c r="G38" i="5"/>
  <c r="G36" i="5"/>
  <c r="G31" i="5"/>
  <c r="G30" i="5"/>
  <c r="G17" i="5"/>
  <c r="G16" i="5"/>
  <c r="G15" i="5"/>
  <c r="G12" i="5"/>
  <c r="G37" i="5"/>
  <c r="G35" i="5"/>
  <c r="G22" i="5"/>
  <c r="G18" i="5"/>
  <c r="G13" i="5"/>
  <c r="G25" i="5"/>
  <c r="G14" i="5"/>
  <c r="G39" i="5"/>
  <c r="G32" i="5"/>
  <c r="G61" i="5"/>
  <c r="G11" i="5"/>
  <c r="G58" i="5"/>
  <c r="G23" i="5"/>
  <c r="G21" i="5"/>
  <c r="G24" i="5"/>
  <c r="G9" i="5"/>
  <c r="R13" i="5"/>
  <c r="O18" i="5"/>
  <c r="O32" i="5"/>
  <c r="I61" i="5"/>
  <c r="N61" i="5" s="1"/>
  <c r="O35" i="5"/>
  <c r="J35" i="5"/>
  <c r="L35" i="5" s="1"/>
  <c r="I25" i="5"/>
  <c r="N25" i="5" s="1"/>
  <c r="J21" i="5"/>
  <c r="L21" i="5" s="1"/>
  <c r="J18" i="5"/>
  <c r="L18" i="5" s="1"/>
  <c r="I18" i="5"/>
  <c r="N18" i="5" s="1"/>
  <c r="R35" i="5" l="1"/>
  <c r="Q35" i="5"/>
  <c r="U35" i="5"/>
  <c r="R32" i="5"/>
  <c r="Q32" i="5"/>
  <c r="U32" i="5"/>
  <c r="R18" i="5"/>
  <c r="Q18" i="5"/>
  <c r="U18" i="5"/>
  <c r="I9" i="5"/>
  <c r="J11" i="5"/>
  <c r="L11" i="5" s="1"/>
  <c r="J9" i="5" l="1"/>
  <c r="L9" i="5" s="1"/>
  <c r="S53" i="5"/>
  <c r="S15" i="5" l="1"/>
  <c r="S16" i="5"/>
  <c r="S17" i="5"/>
  <c r="S19" i="5"/>
  <c r="S22" i="5"/>
  <c r="S23" i="5"/>
  <c r="S26" i="5"/>
  <c r="S27" i="5"/>
  <c r="S28" i="5"/>
  <c r="S29" i="5"/>
  <c r="S31" i="5"/>
  <c r="S33" i="5"/>
  <c r="S34" i="5"/>
  <c r="S36" i="5"/>
  <c r="S37" i="5"/>
  <c r="S38" i="5"/>
  <c r="S40" i="5"/>
  <c r="S41" i="5"/>
  <c r="S43" i="5"/>
  <c r="S44" i="5"/>
  <c r="S45" i="5"/>
  <c r="S47" i="5"/>
  <c r="S49" i="5"/>
  <c r="S50" i="5"/>
  <c r="S51" i="5"/>
  <c r="S52" i="5"/>
  <c r="S54" i="5"/>
  <c r="S56" i="5"/>
  <c r="S57" i="5"/>
  <c r="S59" i="5"/>
  <c r="S62" i="5"/>
  <c r="S63" i="5"/>
  <c r="S64" i="5"/>
  <c r="S65" i="5"/>
  <c r="S66" i="5"/>
  <c r="S69" i="5"/>
  <c r="S70" i="5"/>
  <c r="S21" i="5" l="1"/>
  <c r="S14" i="5" l="1"/>
  <c r="S61" i="5"/>
  <c r="S13" i="5"/>
  <c r="S20" i="5"/>
  <c r="S10" i="5" l="1"/>
  <c r="S35" i="5" l="1"/>
  <c r="S39" i="5" l="1"/>
  <c r="R11" i="5"/>
  <c r="O9" i="5" l="1"/>
  <c r="S12" i="5"/>
  <c r="U9" i="5" l="1"/>
  <c r="S11" i="5"/>
  <c r="I32" i="5"/>
  <c r="J32" i="5"/>
  <c r="L32" i="5" s="1"/>
  <c r="J58" i="5"/>
  <c r="L58" i="5" s="1"/>
  <c r="S32" i="5"/>
  <c r="O30" i="5"/>
  <c r="E144" i="7"/>
  <c r="H143" i="7"/>
  <c r="E143" i="7"/>
  <c r="H142" i="7"/>
  <c r="E142" i="7"/>
  <c r="H141" i="7"/>
  <c r="E141" i="7"/>
  <c r="H140" i="7"/>
  <c r="E140" i="7"/>
  <c r="F139" i="7"/>
  <c r="C139" i="7"/>
  <c r="H139" i="7" s="1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H60" i="7" s="1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E53" i="7" s="1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C31" i="7" s="1"/>
  <c r="B36" i="7"/>
  <c r="H35" i="7"/>
  <c r="E35" i="7"/>
  <c r="H34" i="7"/>
  <c r="E34" i="7"/>
  <c r="F33" i="7"/>
  <c r="F31" i="7" s="1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J85" i="7"/>
  <c r="K85" i="7" s="1"/>
  <c r="L44" i="7"/>
  <c r="R30" i="5" l="1"/>
  <c r="Q30" i="5"/>
  <c r="U30" i="5"/>
  <c r="O24" i="5"/>
  <c r="I24" i="5"/>
  <c r="N24" i="5" s="1"/>
  <c r="N32" i="5"/>
  <c r="H134" i="7"/>
  <c r="E56" i="7"/>
  <c r="E36" i="7"/>
  <c r="H39" i="7"/>
  <c r="F107" i="7"/>
  <c r="S30" i="5"/>
  <c r="E60" i="7"/>
  <c r="C107" i="7"/>
  <c r="C77" i="7" s="1"/>
  <c r="H8" i="7"/>
  <c r="H10" i="7"/>
  <c r="B31" i="7"/>
  <c r="B7" i="7" s="1"/>
  <c r="E45" i="7"/>
  <c r="H53" i="7"/>
  <c r="E78" i="7"/>
  <c r="B77" i="7"/>
  <c r="E77" i="7" s="1"/>
  <c r="H84" i="7"/>
  <c r="S25" i="5"/>
  <c r="S58" i="5"/>
  <c r="F82" i="7"/>
  <c r="F77" i="7" s="1"/>
  <c r="E82" i="7"/>
  <c r="E18" i="7"/>
  <c r="H33" i="7"/>
  <c r="H36" i="7"/>
  <c r="H45" i="7"/>
  <c r="E39" i="7"/>
  <c r="H56" i="7"/>
  <c r="E74" i="7"/>
  <c r="H107" i="7"/>
  <c r="E139" i="7"/>
  <c r="H78" i="7"/>
  <c r="H113" i="7"/>
  <c r="J30" i="5"/>
  <c r="L30" i="5" s="1"/>
  <c r="H115" i="7"/>
  <c r="E10" i="7"/>
  <c r="C44" i="7"/>
  <c r="E44" i="7" s="1"/>
  <c r="H74" i="7"/>
  <c r="E33" i="7"/>
  <c r="H31" i="7"/>
  <c r="F44" i="7"/>
  <c r="H44" i="7" s="1"/>
  <c r="E107" i="7"/>
  <c r="H118" i="7"/>
  <c r="H82" i="7"/>
  <c r="C17" i="7"/>
  <c r="H18" i="7"/>
  <c r="E8" i="7"/>
  <c r="F7" i="7"/>
  <c r="Q24" i="5" l="1"/>
  <c r="U24" i="5"/>
  <c r="T6" i="5"/>
  <c r="U7" i="5" s="1"/>
  <c r="O71" i="5"/>
  <c r="R24" i="5"/>
  <c r="J24" i="5"/>
  <c r="L24" i="5" s="1"/>
  <c r="S24" i="5"/>
  <c r="S9" i="5"/>
  <c r="E31" i="7"/>
  <c r="S18" i="5"/>
  <c r="I71" i="5"/>
  <c r="E17" i="7"/>
  <c r="C7" i="7"/>
  <c r="C145" i="7" s="1"/>
  <c r="D77" i="7" s="1"/>
  <c r="H17" i="7"/>
  <c r="H77" i="7"/>
  <c r="F145" i="7"/>
  <c r="B145" i="7"/>
  <c r="E7" i="7"/>
  <c r="D95" i="7"/>
  <c r="D135" i="7"/>
  <c r="D83" i="7"/>
  <c r="D139" i="7"/>
  <c r="D44" i="7"/>
  <c r="D45" i="7"/>
  <c r="D17" i="7"/>
  <c r="D107" i="7"/>
  <c r="D85" i="7"/>
  <c r="D123" i="7"/>
  <c r="D98" i="7"/>
  <c r="D105" i="7"/>
  <c r="D13" i="7"/>
  <c r="U71" i="5" l="1"/>
  <c r="P48" i="5"/>
  <c r="P60" i="5"/>
  <c r="P14" i="5"/>
  <c r="P42" i="5"/>
  <c r="P68" i="5"/>
  <c r="P67" i="5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P16" i="5" l="1"/>
  <c r="P18" i="5"/>
  <c r="P20" i="5"/>
  <c r="P22" i="5"/>
  <c r="P26" i="5"/>
  <c r="P28" i="5"/>
  <c r="P30" i="5"/>
  <c r="P32" i="5"/>
  <c r="P34" i="5"/>
  <c r="P36" i="5"/>
  <c r="P38" i="5"/>
  <c r="P40" i="5"/>
  <c r="P43" i="5"/>
  <c r="P45" i="5"/>
  <c r="P47" i="5"/>
  <c r="P50" i="5"/>
  <c r="P52" i="5"/>
  <c r="P57" i="5"/>
  <c r="P59" i="5"/>
  <c r="P69" i="5"/>
  <c r="P11" i="5"/>
  <c r="P13" i="5"/>
  <c r="P15" i="5"/>
  <c r="P54" i="5"/>
  <c r="P56" i="5"/>
  <c r="P62" i="5"/>
  <c r="P66" i="5"/>
  <c r="P71" i="5"/>
  <c r="P9" i="5"/>
  <c r="P17" i="5"/>
  <c r="P19" i="5"/>
  <c r="P21" i="5"/>
  <c r="P23" i="5"/>
  <c r="P25" i="5"/>
  <c r="P27" i="5"/>
  <c r="P29" i="5"/>
  <c r="P31" i="5"/>
  <c r="P33" i="5"/>
  <c r="P35" i="5"/>
  <c r="P37" i="5"/>
  <c r="P44" i="5"/>
  <c r="P46" i="5"/>
  <c r="P49" i="5"/>
  <c r="P51" i="5"/>
  <c r="P53" i="5"/>
  <c r="P58" i="5"/>
  <c r="P10" i="5"/>
  <c r="P63" i="5"/>
  <c r="P41" i="5"/>
  <c r="P12" i="5"/>
  <c r="P55" i="5"/>
  <c r="P65" i="5"/>
  <c r="P70" i="5"/>
  <c r="P39" i="5"/>
  <c r="P24" i="5"/>
  <c r="J71" i="5"/>
  <c r="L71" i="5" s="1"/>
  <c r="S71" i="5"/>
</calcChain>
</file>

<file path=xl/sharedStrings.xml><?xml version="1.0" encoding="utf-8"?>
<sst xmlns="http://schemas.openxmlformats.org/spreadsheetml/2006/main" count="256" uniqueCount="222">
  <si>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</si>
  <si>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</si>
  <si>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</si>
  <si>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</si>
  <si>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</si>
  <si>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</si>
  <si>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</si>
  <si>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</si>
  <si>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</si>
  <si>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</si>
  <si>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</si>
  <si>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</si>
  <si>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</si>
  <si>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</si>
  <si>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</si>
  <si>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</si>
  <si>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</si>
  <si>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</si>
  <si>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</si>
  <si>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</si>
  <si>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</si>
  <si>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</si>
  <si>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</si>
  <si>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</si>
  <si>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</si>
  <si>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</si>
  <si>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</si>
  <si>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</si>
  <si>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</si>
  <si>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</si>
  <si>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</si>
  <si>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</si>
  <si>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</si>
  <si>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</si>
  <si>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</si>
  <si>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</si>
  <si>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</si>
  <si>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</si>
  <si>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</si>
  <si>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</si>
  <si>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</si>
  <si>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</si>
  <si>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</si>
  <si>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</si>
  <si>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</si>
  <si>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</si>
  <si>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</si>
  <si>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</si>
  <si>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</si>
  <si>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</si>
  <si>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</si>
  <si>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</si>
  <si>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</si>
  <si>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</si>
  <si>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</si>
  <si>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</si>
  <si>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</si>
  <si>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</si>
  <si>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</si>
  <si>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</si>
  <si>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</si>
  <si>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</si>
  <si>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</si>
  <si>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</si>
  <si>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</si>
  <si>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</si>
  <si>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</si>
  <si>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</si>
  <si>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</si>
  <si>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</si>
  <si>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</si>
  <si>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</si>
  <si>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</si>
  <si>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</si>
  <si>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</si>
  <si>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</si>
  <si>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</si>
  <si>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</si>
  <si>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</si>
  <si>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</si>
  <si>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</si>
  <si>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</si>
  <si>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</si>
  <si>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</si>
  <si>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</si>
  <si>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</si>
  <si>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</si>
  <si>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</si>
  <si>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</si>
  <si>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</si>
  <si>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</si>
  <si>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</si>
  <si>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</si>
  <si>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</si>
  <si>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</si>
  <si>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</si>
  <si>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</si>
  <si>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</si>
  <si>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</si>
  <si>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</si>
  <si>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</si>
  <si>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</si>
  <si>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</si>
  <si>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</si>
  <si>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</si>
  <si>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</si>
  <si>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</si>
  <si>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</si>
  <si>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</si>
  <si>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</si>
  <si>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</si>
  <si>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</si>
  <si>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</si>
  <si>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</si>
  <si>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</si>
  <si>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</si>
  <si>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</si>
  <si>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</si>
  <si>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</si>
  <si>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</si>
  <si>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</si>
  <si>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</si>
  <si>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</si>
  <si>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</si>
  <si>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</si>
  <si>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</si>
  <si>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</si>
  <si>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</si>
  <si>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</si>
  <si>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</si>
  <si>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</si>
  <si>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</si>
  <si>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</si>
  <si>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</si>
  <si>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</si>
  <si>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</si>
  <si>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</si>
  <si>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</si>
  <si>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</si>
  <si>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</si>
  <si>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</si>
  <si>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</si>
  <si>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</si>
  <si>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</si>
  <si>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</si>
  <si>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</si>
  <si>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</si>
  <si>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</si>
  <si>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</si>
  <si>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</si>
  <si>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</si>
  <si>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</si>
  <si>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</si>
  <si>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</si>
  <si>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</si>
  <si>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</si>
  <si>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</si>
  <si>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</si>
  <si>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</si>
  <si>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</si>
  <si>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</si>
  <si>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</si>
  <si>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</si>
  <si>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Прочие денежные взыскания (штрафы) за правонарушения в области дорожного движения</t>
  </si>
  <si>
    <t>Приложение № 2 к                                               заключению Счётной палаты</t>
  </si>
  <si>
    <t>Государственная пошлина по делам, рассматриваемым в судах общей юрисдикции, мировыми судьями</t>
  </si>
  <si>
    <t>Платежи от государственных и муниципальных унитарных предприятий</t>
  </si>
  <si>
    <t xml:space="preserve">% испол- нения уточнён- ного плана </t>
  </si>
  <si>
    <t>2018 год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</si>
  <si>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</si>
  <si>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</si>
  <si>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налогообложения</t>
  </si>
  <si>
    <t>Сравнительный анализ исполнения доходной части бюджета за 2018-2019 годы</t>
  </si>
  <si>
    <t>2019 год</t>
  </si>
  <si>
    <t>исполнения 2019 года и 2018 года, руб.</t>
  </si>
  <si>
    <t>Доходы от продажи квартир</t>
  </si>
  <si>
    <t>Уточнённый  план по решению о бюджете, руб.</t>
  </si>
  <si>
    <t xml:space="preserve">Уточненный план по данным департамента финансов </t>
  </si>
  <si>
    <t>Уточнённый  план по данным депармамента финансов руб.</t>
  </si>
  <si>
    <t>Уточнение плана, руб. (гр.11-гр. 10)</t>
  </si>
  <si>
    <t>Изменение плана, руб. (гр.11-гр.9)</t>
  </si>
  <si>
    <t>Первоначаль-ный план, руб.</t>
  </si>
  <si>
    <t>Первоначаль-              ный план, руб.</t>
  </si>
  <si>
    <t>удель-ный вес в общей сумме дохо-дов, %</t>
  </si>
  <si>
    <t>Денежные взыскания (штрафы) за нарушение законодательст-ва о налогах и сборах, предус-мотренные статьями 116, 119.1, 119.2, пунктами 1 и 2 статьи 120, статьями 125, 126, 126.1, 128, 129, 129.1, 129.4, 132, 133, 134, 135, 135.1, 135.2 Налого-вого кодекса Российской Федерации</t>
  </si>
  <si>
    <t>Денежные взыскания (штрафы) за административные правона-рушения в области налогов и сборов, предусмотренные Кодексом Российской Феде-рации об административных правонарушениях</t>
  </si>
  <si>
    <t>Денежные взыскания (штрафы) за нарушение  законодательст-ва о применении контрольно-кассовой техники при осуще-ствлении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</si>
  <si>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правона-рушения в области государст-венного регулирования произ-водства и оборота этилового спирта, алкогольной, спирто-содержащей  продукции</t>
  </si>
  <si>
    <t xml:space="preserve">Денежные взыскания (штрафы) за нарушение законодательст-ва Российской Федерации о недрах </t>
  </si>
  <si>
    <t>Денежные взыскания (штрафы) за нарушение законодательст-ва об охране и использовании животного мира</t>
  </si>
  <si>
    <t>Денежные взыскания (штрафы) за нарушение законодательст-ва в области охраны окружаю-щей среды</t>
  </si>
  <si>
    <t>Денежные взыскания (штрафы) за нарушение земельного зако-нодательства</t>
  </si>
  <si>
    <t>Денежные взыскания (штрафы) за нарушение законодательст-ва в области обеспечения сани-тарно-эпидемиологического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</si>
  <si>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правил перевозки крупногабаритных и тяжеловес-ных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</si>
  <si>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законодательст-ва Российской Федерации об административных правонару-шениях, предусмотренные ста-тьей 20.25 Кодекса Российской Федерации об    администра-тивных правонарушениях</t>
  </si>
  <si>
    <t>Денежные взыскания (штрафы) за нарушение законодательст-ва Российской Федерации о контрактной системе в сфере закупок товаров, работ, услуг для обеспечения государствен-ных и муниципальных нужд для нужд городских округов</t>
  </si>
  <si>
    <t>Прочие поступления от денеж-ных взысканий (штрафов) и иных сумм в возмещение ущер-ба, зачисляемые в бюджеты городских округов</t>
  </si>
  <si>
    <t>Дотации бюджетам бюджет-ной системы Российской Федерации</t>
  </si>
  <si>
    <t>Налоги на товары (работы, услуги), реализуемые на тер-ритории Российской Федерации</t>
  </si>
  <si>
    <t>Акцизы по подакцизным това-рам (продукции), производи-мым на территории Российской Федерации</t>
  </si>
  <si>
    <t>Налог на имущество физичес-ких лиц</t>
  </si>
  <si>
    <t>Государственная пошлина за государственную регистрацию, а также за совершение прочих юридически значимых дейст-вий</t>
  </si>
  <si>
    <t>Доходы от использования иму-щества, находящегося в государственной и муниципаль-ной собственности</t>
  </si>
  <si>
    <t>Доходы в виде прибыли, прихо-дящейся на доли в уставных (складочных) капиталах хозя-йственных товариществ и обществ, или дивидендов по акциям, принадлежащим Рос-сийской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</si>
  <si>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пользо-вание государственного и муни-ципального имущества (за иск-лючением имущества бюджет-ных и автономных учреждений, а также имущества государст-венных и муниципальных уни-тарных предприятий, в том числе казенных)</t>
  </si>
  <si>
    <t>Плата за негативное воздейст-вие на окружающую среду</t>
  </si>
  <si>
    <t>Прочие доходы от использова-ния имущества и прав, находя-щихся в государственной и муниципальной собственности (за исключением имущества бюджетных и автономных учреждений, а также имущест-ва государственных и муници-пальных унитарных предп-риятий, в том числе казенных)</t>
  </si>
  <si>
    <t>Доходы от продажи материаль-ных и нематериальных активов</t>
  </si>
  <si>
    <t>Доходы от реализации имуще-ства, находящегося в госуда-рственной и муниципальной собственности (за исключе-нием движимого имущества бюджетных и автономных учреждений, а также имущест-ва государственных и муници-пальных унитарных предприя- тий, в том числе казенных)</t>
  </si>
  <si>
    <t>Доходы от продажи земельных участков, находящихся в госу-дарственной и муниципальной собственности</t>
  </si>
  <si>
    <t>Денежные взыскания (штрафы) за нарушение законодательст-ва о налогах и сборах, предус-мотренные статьёй 129.6 Налогового кодекса Российс-кой Федерации</t>
  </si>
  <si>
    <t xml:space="preserve">Денежные взыскания (штрафы) за административные правона-рушения в области государст-венного регулирования произ-водства и оборота табачной  продукции </t>
  </si>
  <si>
    <t xml:space="preserve">Денежные взыскания (штрафы) за нарушение законодательст-ва об экологической экспертизе </t>
  </si>
  <si>
    <t>Поступления сумм в возмеще-ние вреда, причиняемого авто-мобильным дорогам местного значения транспортными сред-ствами, осуществляющими перевозки тяжеловесных и (или) крупногабаритных грузов, зачисляемые в бюджеты городских округов</t>
  </si>
  <si>
    <t>Субсидии бюджетам бюджет-ной системы Российской Феде-рации (межбюджетные субси-дии)</t>
  </si>
  <si>
    <t>Субвенции бюджетам бюджет-ной системы Российской Феде-рации</t>
  </si>
  <si>
    <t>Прочие безвозмездные посту-пления в бюджеты городских округов</t>
  </si>
  <si>
    <t>Прочие безвозмездные поступ-ления от негосударственных организаций в бюджеты горо-дских округов</t>
  </si>
  <si>
    <t>Поступления от денежных по-жертвований, предоставляемых физическими лицами получате-лям средств бюджетов город-ских округов</t>
  </si>
  <si>
    <t>Доходы бюджетов городских округов от возврата организа-циями остатков субсидий прош-лых лет</t>
  </si>
  <si>
    <t>Возврат остатков субсидий, субвенций  и иных межбюджет-ных трансфертов, имеющих целевое назначение, прошлых лет, из бюджетов городских округов</t>
  </si>
  <si>
    <t>исполнения и уточнённого плана 2019 года, руб. (гр. 15-гр.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</si>
</sst>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3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5" fillId="0" borderId="1" xfId="0" applyNumberFormat="1" applyFont="1" applyFill="1" applyBorder="1" applyAlignment="1">
      <alignment horizontal="right" vertical="center"/>
    </xf>
    <xf numFmtId="164" fontId="12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5" fillId="0" borderId="0" xfId="0" applyFont="1" applyFill="1"/>
    <xf numFmtId="49" fontId="1" fillId="0" borderId="1" xfId="3" applyNumberFormat="1" applyFont="1" applyFill="1" applyBorder="1" applyAlignment="1">
      <alignment horizontal="left" wrapText="1"/>
    </xf>
    <xf numFmtId="167" fontId="1" fillId="0" borderId="1" xfId="3" applyNumberFormat="1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64" fontId="5" fillId="0" borderId="0" xfId="0" applyNumberFormat="1" applyFont="1" applyFill="1"/>
    <xf numFmtId="0" fontId="9" fillId="0" borderId="0" xfId="0" applyFont="1" applyFill="1"/>
    <xf numFmtId="166" fontId="9" fillId="0" borderId="0" xfId="0" applyNumberFormat="1" applyFont="1" applyFill="1"/>
    <xf numFmtId="4" fontId="9" fillId="0" borderId="0" xfId="0" applyNumberFormat="1" applyFont="1" applyFill="1"/>
    <xf numFmtId="4" fontId="10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3" fontId="9" fillId="0" borderId="0" xfId="0" applyNumberFormat="1" applyFont="1" applyFill="1"/>
    <xf numFmtId="1" fontId="1" fillId="2" borderId="1" xfId="0" applyNumberFormat="1" applyFont="1" applyFill="1" applyBorder="1" applyAlignment="1">
      <alignment horizontal="left" vertical="center" wrapText="1"/>
    </xf>
    <xf numFmtId="43" fontId="5" fillId="0" borderId="0" xfId="0" applyNumberFormat="1" applyFont="1" applyFill="1" applyAlignment="1"/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3" fontId="5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Fill="1"/>
    <xf numFmtId="4" fontId="17" fillId="0" borderId="0" xfId="0" applyNumberFormat="1" applyFont="1" applyFill="1"/>
    <xf numFmtId="2" fontId="5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1"/>
  <sheetViews>
    <sheetView tabSelected="1" view="pageBreakPreview" zoomScaleNormal="100" zoomScaleSheetLayoutView="100" workbookViewId="0">
      <pane xSplit="1" ySplit="8" topLeftCell="E9" activePane="bottomRight" state="frozen"/>
      <selection pane="topRight" activeCell="B1" sqref="B1"/>
      <selection pane="bottomLeft" activeCell="A7" sqref="A7"/>
      <selection pane="bottomRight" activeCell="V11" sqref="V11"/>
    </sheetView>
  </sheetViews>
  <sheetFormatPr defaultColWidth="9.140625" defaultRowHeight="15" x14ac:dyDescent="0.25"/>
  <cols>
    <col min="1" max="1" width="29.140625" style="88" customWidth="1"/>
    <col min="2" max="2" width="17.5703125" style="112" customWidth="1"/>
    <col min="3" max="3" width="18" style="123" customWidth="1"/>
    <col min="4" max="4" width="10" style="112" customWidth="1"/>
    <col min="5" max="5" width="17.5703125" style="112" customWidth="1"/>
    <col min="6" max="6" width="17.42578125" style="112" customWidth="1"/>
    <col min="7" max="7" width="8.5703125" style="112" customWidth="1"/>
    <col min="8" max="8" width="7.85546875" style="112" customWidth="1"/>
    <col min="9" max="9" width="17.42578125" style="93" customWidth="1"/>
    <col min="10" max="11" width="17.140625" style="89" customWidth="1"/>
    <col min="12" max="12" width="15.42578125" style="89" customWidth="1"/>
    <col min="13" max="13" width="8.42578125" style="89" customWidth="1"/>
    <col min="14" max="14" width="15" style="89" customWidth="1"/>
    <col min="15" max="15" width="17.85546875" style="89" customWidth="1"/>
    <col min="16" max="16" width="8.85546875" style="89" customWidth="1"/>
    <col min="17" max="17" width="9.42578125" style="89" customWidth="1"/>
    <col min="18" max="18" width="15.28515625" style="79" customWidth="1"/>
    <col min="19" max="19" width="18" style="79" customWidth="1"/>
    <col min="20" max="20" width="17.28515625" style="81" hidden="1" customWidth="1"/>
    <col min="21" max="21" width="17.42578125" style="81" hidden="1" customWidth="1"/>
    <col min="22" max="16384" width="9.140625" style="81"/>
  </cols>
  <sheetData>
    <row r="1" spans="1:23" s="102" customFormat="1" ht="26.25" customHeight="1" x14ac:dyDescent="0.2">
      <c r="A1" s="100"/>
      <c r="B1" s="101"/>
      <c r="C1" s="101"/>
      <c r="D1" s="101"/>
      <c r="E1" s="101"/>
      <c r="F1" s="101"/>
      <c r="G1" s="101"/>
      <c r="H1" s="101"/>
      <c r="I1" s="93"/>
      <c r="J1" s="89"/>
      <c r="K1" s="89"/>
      <c r="L1" s="89"/>
      <c r="M1" s="89"/>
      <c r="N1" s="89"/>
      <c r="O1" s="89"/>
      <c r="P1" s="89"/>
      <c r="Q1" s="89"/>
      <c r="R1" s="153" t="s">
        <v>164</v>
      </c>
      <c r="S1" s="154"/>
    </row>
    <row r="2" spans="1:23" s="102" customFormat="1" x14ac:dyDescent="0.25">
      <c r="A2" s="103"/>
      <c r="B2" s="132"/>
      <c r="C2" s="101"/>
      <c r="D2" s="101"/>
      <c r="E2" s="101"/>
      <c r="F2" s="101"/>
      <c r="G2" s="101"/>
      <c r="H2" s="101"/>
      <c r="I2" s="93"/>
      <c r="J2" s="89"/>
      <c r="K2" s="89"/>
      <c r="L2" s="89"/>
      <c r="M2" s="89"/>
      <c r="N2" s="89"/>
      <c r="O2" s="89"/>
      <c r="P2" s="89"/>
      <c r="Q2" s="89"/>
      <c r="R2" s="154"/>
      <c r="S2" s="154"/>
    </row>
    <row r="3" spans="1:23" s="102" customFormat="1" x14ac:dyDescent="0.25">
      <c r="A3" s="103"/>
      <c r="B3" s="101"/>
      <c r="C3" s="101"/>
      <c r="D3" s="101"/>
      <c r="E3" s="101"/>
      <c r="F3" s="101"/>
      <c r="G3" s="101"/>
      <c r="H3" s="101"/>
      <c r="I3" s="93"/>
      <c r="J3" s="89"/>
      <c r="K3" s="89"/>
      <c r="L3" s="89"/>
      <c r="M3" s="89"/>
      <c r="N3" s="89"/>
      <c r="O3" s="99"/>
      <c r="P3" s="89"/>
      <c r="Q3" s="89"/>
      <c r="R3" s="93"/>
      <c r="S3" s="89"/>
    </row>
    <row r="4" spans="1:23" s="102" customFormat="1" x14ac:dyDescent="0.25">
      <c r="A4" s="155" t="s">
        <v>172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3" s="102" customFormat="1" x14ac:dyDescent="0.25">
      <c r="A5" s="104"/>
      <c r="C5" s="105"/>
      <c r="I5" s="94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3" s="106" customFormat="1" ht="21.75" customHeight="1" x14ac:dyDescent="0.2">
      <c r="A6" s="159" t="s">
        <v>0</v>
      </c>
      <c r="B6" s="157" t="s">
        <v>168</v>
      </c>
      <c r="C6" s="157"/>
      <c r="D6" s="157"/>
      <c r="E6" s="157"/>
      <c r="F6" s="157"/>
      <c r="G6" s="157"/>
      <c r="H6" s="158"/>
      <c r="I6" s="157" t="s">
        <v>173</v>
      </c>
      <c r="J6" s="157"/>
      <c r="K6" s="157"/>
      <c r="L6" s="157"/>
      <c r="M6" s="157"/>
      <c r="N6" s="157"/>
      <c r="O6" s="157"/>
      <c r="P6" s="157"/>
      <c r="Q6" s="158"/>
      <c r="R6" s="157" t="s">
        <v>56</v>
      </c>
      <c r="S6" s="158"/>
      <c r="T6" s="147">
        <f>O9+O24</f>
        <v>3080229432.3199997</v>
      </c>
      <c r="U6" s="106">
        <v>3080229432.3200002</v>
      </c>
    </row>
    <row r="7" spans="1:23" s="106" customFormat="1" ht="99.75" x14ac:dyDescent="0.2">
      <c r="A7" s="160"/>
      <c r="B7" s="91" t="s">
        <v>181</v>
      </c>
      <c r="C7" s="91" t="s">
        <v>178</v>
      </c>
      <c r="D7" s="95" t="s">
        <v>87</v>
      </c>
      <c r="E7" s="91" t="s">
        <v>117</v>
      </c>
      <c r="F7" s="91" t="s">
        <v>75</v>
      </c>
      <c r="G7" s="95" t="s">
        <v>183</v>
      </c>
      <c r="H7" s="96" t="s">
        <v>167</v>
      </c>
      <c r="I7" s="91" t="s">
        <v>182</v>
      </c>
      <c r="J7" s="91" t="s">
        <v>176</v>
      </c>
      <c r="K7" s="95" t="s">
        <v>177</v>
      </c>
      <c r="L7" s="95" t="s">
        <v>179</v>
      </c>
      <c r="M7" s="95" t="s">
        <v>183</v>
      </c>
      <c r="N7" s="91" t="s">
        <v>180</v>
      </c>
      <c r="O7" s="91" t="s">
        <v>75</v>
      </c>
      <c r="P7" s="95" t="s">
        <v>183</v>
      </c>
      <c r="Q7" s="96" t="s">
        <v>167</v>
      </c>
      <c r="R7" s="91" t="s">
        <v>221</v>
      </c>
      <c r="S7" s="107" t="s">
        <v>174</v>
      </c>
      <c r="U7" s="147">
        <f>T6-U6</f>
        <v>0</v>
      </c>
    </row>
    <row r="8" spans="1:23" s="108" customFormat="1" ht="14.25" x14ac:dyDescent="0.2">
      <c r="A8" s="92">
        <v>1</v>
      </c>
      <c r="B8" s="97">
        <v>2</v>
      </c>
      <c r="C8" s="92">
        <v>3</v>
      </c>
      <c r="D8" s="97">
        <v>4</v>
      </c>
      <c r="E8" s="97">
        <v>5</v>
      </c>
      <c r="F8" s="92">
        <v>6</v>
      </c>
      <c r="G8" s="97">
        <v>7</v>
      </c>
      <c r="H8" s="97">
        <v>8</v>
      </c>
      <c r="I8" s="97">
        <v>9</v>
      </c>
      <c r="J8" s="92">
        <v>10</v>
      </c>
      <c r="K8" s="97">
        <v>11</v>
      </c>
      <c r="L8" s="97">
        <v>12</v>
      </c>
      <c r="M8" s="97">
        <v>13</v>
      </c>
      <c r="N8" s="97">
        <v>14</v>
      </c>
      <c r="O8" s="92">
        <v>15</v>
      </c>
      <c r="P8" s="97">
        <v>16</v>
      </c>
      <c r="Q8" s="97">
        <v>17</v>
      </c>
      <c r="R8" s="92">
        <v>18</v>
      </c>
      <c r="S8" s="97">
        <v>19</v>
      </c>
    </row>
    <row r="9" spans="1:23" s="106" customFormat="1" ht="14.25" x14ac:dyDescent="0.2">
      <c r="A9" s="109" t="s">
        <v>49</v>
      </c>
      <c r="B9" s="128">
        <f>B10+B13+B18+B21+B11</f>
        <v>2060279400</v>
      </c>
      <c r="C9" s="146">
        <f>C10+C13+C18+C21+C11</f>
        <v>2280708775</v>
      </c>
      <c r="D9" s="133">
        <f t="shared" ref="D9:D41" si="0">C9/C$71*100</f>
        <v>24.855983011431395</v>
      </c>
      <c r="E9" s="133">
        <f>C9-B9</f>
        <v>220429375</v>
      </c>
      <c r="F9" s="128">
        <f>F10+F13+F18+F21+F11</f>
        <v>2349672876.6699996</v>
      </c>
      <c r="G9" s="133">
        <f t="shared" ref="G9:G41" si="1">F9/F$71*100</f>
        <v>25.36931067525466</v>
      </c>
      <c r="H9" s="133">
        <f>F9/C9*100</f>
        <v>103.02380130361009</v>
      </c>
      <c r="I9" s="128">
        <f>I10+I13+I18+I21+I11</f>
        <v>2224867000</v>
      </c>
      <c r="J9" s="128">
        <f>J10+J13+J18+J21+J11</f>
        <v>2442362000</v>
      </c>
      <c r="K9" s="128">
        <f>K10+K13+K18+K21+K11</f>
        <v>2442362000</v>
      </c>
      <c r="L9" s="128">
        <f>K9-J9</f>
        <v>0</v>
      </c>
      <c r="M9" s="133">
        <f t="shared" ref="M9:M41" si="2">K9/K$71*100</f>
        <v>31.18776829849595</v>
      </c>
      <c r="N9" s="133">
        <f>K9-I9</f>
        <v>217495000</v>
      </c>
      <c r="O9" s="129">
        <f>O10+O13+O18+O21+O11</f>
        <v>2515695530.0799994</v>
      </c>
      <c r="P9" s="133">
        <f t="shared" ref="P9:P40" si="3">O9/O$71*100</f>
        <v>30.762611288419095</v>
      </c>
      <c r="Q9" s="133">
        <f>O9/K9*100</f>
        <v>103.00256596196631</v>
      </c>
      <c r="R9" s="133">
        <f>O9-K9</f>
        <v>73333530.079999447</v>
      </c>
      <c r="S9" s="133">
        <f t="shared" ref="S9:S40" si="4">O9-F9</f>
        <v>166022653.40999985</v>
      </c>
      <c r="T9" s="142">
        <f>T10+T13+T18+T21+T11</f>
        <v>2515695530.0799994</v>
      </c>
      <c r="U9" s="143">
        <f>T9-O9</f>
        <v>0</v>
      </c>
    </row>
    <row r="10" spans="1:23" s="112" customFormat="1" ht="30" x14ac:dyDescent="0.2">
      <c r="A10" s="110" t="s">
        <v>1</v>
      </c>
      <c r="B10" s="134">
        <v>1571616000</v>
      </c>
      <c r="C10" s="134">
        <v>1691853875</v>
      </c>
      <c r="D10" s="135">
        <f t="shared" si="0"/>
        <v>18.438430910506924</v>
      </c>
      <c r="E10" s="135">
        <f>C10-B10</f>
        <v>120237875</v>
      </c>
      <c r="F10" s="134">
        <v>1744964125.6099999</v>
      </c>
      <c r="G10" s="135">
        <f t="shared" si="1"/>
        <v>18.840297923731569</v>
      </c>
      <c r="H10" s="135">
        <f t="shared" ref="H10:H57" si="5">F10/C10*100</f>
        <v>103.13917480668948</v>
      </c>
      <c r="I10" s="134">
        <v>1732595000</v>
      </c>
      <c r="J10" s="134">
        <v>1809640000</v>
      </c>
      <c r="K10" s="134">
        <v>1809640000</v>
      </c>
      <c r="L10" s="134">
        <f t="shared" ref="L10:L70" si="6">K10-J10</f>
        <v>0</v>
      </c>
      <c r="M10" s="135">
        <f t="shared" si="2"/>
        <v>23.108217792321618</v>
      </c>
      <c r="N10" s="135">
        <f t="shared" ref="N10:N70" si="7">K10-I10</f>
        <v>77045000</v>
      </c>
      <c r="O10" s="134">
        <v>1856869273.76</v>
      </c>
      <c r="P10" s="135">
        <f t="shared" si="3"/>
        <v>22.706304081349401</v>
      </c>
      <c r="Q10" s="135">
        <f t="shared" ref="Q10:Q70" si="8">O10/K10*100</f>
        <v>102.60987123184722</v>
      </c>
      <c r="R10" s="135">
        <f t="shared" ref="R10:R70" si="9">O10-K10</f>
        <v>47229273.75999999</v>
      </c>
      <c r="S10" s="135">
        <f t="shared" si="4"/>
        <v>111905148.1500001</v>
      </c>
      <c r="T10" s="134">
        <f>1810052482.52+9736483.85+19800962.81+17350018.51-70673.93</f>
        <v>1856869273.7599998</v>
      </c>
      <c r="U10" s="152">
        <f t="shared" ref="U10:U71" si="10">T10-O10</f>
        <v>0</v>
      </c>
      <c r="W10" s="149"/>
    </row>
    <row r="11" spans="1:23" s="112" customFormat="1" ht="45" customHeight="1" x14ac:dyDescent="0.25">
      <c r="A11" s="113" t="s">
        <v>198</v>
      </c>
      <c r="B11" s="136">
        <f>B12</f>
        <v>6857000</v>
      </c>
      <c r="C11" s="136">
        <f>C12</f>
        <v>6857000</v>
      </c>
      <c r="D11" s="135">
        <f t="shared" si="0"/>
        <v>7.4730047684139364E-2</v>
      </c>
      <c r="E11" s="135">
        <f>C11-B11</f>
        <v>0</v>
      </c>
      <c r="F11" s="136">
        <f>F12</f>
        <v>7504563.9699999997</v>
      </c>
      <c r="G11" s="135">
        <f t="shared" si="1"/>
        <v>8.1026434244357681E-2</v>
      </c>
      <c r="H11" s="135">
        <f t="shared" si="5"/>
        <v>109.44383797579115</v>
      </c>
      <c r="I11" s="136">
        <f>I12</f>
        <v>6857000</v>
      </c>
      <c r="J11" s="136">
        <f>J12</f>
        <v>7500000</v>
      </c>
      <c r="K11" s="136">
        <f>K12</f>
        <v>7500000</v>
      </c>
      <c r="L11" s="134">
        <f t="shared" si="6"/>
        <v>0</v>
      </c>
      <c r="M11" s="135">
        <f t="shared" si="2"/>
        <v>9.5771332111586907E-2</v>
      </c>
      <c r="N11" s="135">
        <f t="shared" si="7"/>
        <v>643000</v>
      </c>
      <c r="O11" s="136">
        <f>O12</f>
        <v>8774519.4299999997</v>
      </c>
      <c r="P11" s="135">
        <f t="shared" si="3"/>
        <v>0.10729721750516723</v>
      </c>
      <c r="Q11" s="135">
        <f t="shared" si="8"/>
        <v>116.9935924</v>
      </c>
      <c r="R11" s="135">
        <f t="shared" si="9"/>
        <v>1274519.4299999997</v>
      </c>
      <c r="S11" s="135">
        <f t="shared" si="4"/>
        <v>1269955.46</v>
      </c>
      <c r="T11" s="136">
        <f>T12</f>
        <v>8774519.4299999997</v>
      </c>
      <c r="U11" s="152">
        <f>T11-O11</f>
        <v>0</v>
      </c>
      <c r="V11" s="111"/>
    </row>
    <row r="12" spans="1:23" s="112" customFormat="1" ht="60" x14ac:dyDescent="0.25">
      <c r="A12" s="114" t="s">
        <v>199</v>
      </c>
      <c r="B12" s="136">
        <v>6857000</v>
      </c>
      <c r="C12" s="136">
        <v>6857000</v>
      </c>
      <c r="D12" s="135">
        <f t="shared" si="0"/>
        <v>7.4730047684139364E-2</v>
      </c>
      <c r="E12" s="135">
        <f t="shared" ref="E12:E21" si="11">C12-B12</f>
        <v>0</v>
      </c>
      <c r="F12" s="136">
        <v>7504563.9699999997</v>
      </c>
      <c r="G12" s="135">
        <f t="shared" si="1"/>
        <v>8.1026434244357681E-2</v>
      </c>
      <c r="H12" s="135">
        <f t="shared" si="5"/>
        <v>109.44383797579115</v>
      </c>
      <c r="I12" s="136">
        <v>6857000</v>
      </c>
      <c r="J12" s="136">
        <v>7500000</v>
      </c>
      <c r="K12" s="136">
        <v>7500000</v>
      </c>
      <c r="L12" s="134">
        <f t="shared" si="6"/>
        <v>0</v>
      </c>
      <c r="M12" s="135">
        <f t="shared" si="2"/>
        <v>9.5771332111586907E-2</v>
      </c>
      <c r="N12" s="135">
        <f t="shared" si="7"/>
        <v>643000</v>
      </c>
      <c r="O12" s="136">
        <v>8774519.4299999997</v>
      </c>
      <c r="P12" s="135">
        <f t="shared" si="3"/>
        <v>0.10729721750516723</v>
      </c>
      <c r="Q12" s="135">
        <f>O12/K12*100</f>
        <v>116.9935924</v>
      </c>
      <c r="R12" s="135">
        <f t="shared" si="9"/>
        <v>1274519.4299999997</v>
      </c>
      <c r="S12" s="135">
        <f t="shared" si="4"/>
        <v>1269955.46</v>
      </c>
      <c r="T12" s="136">
        <f>3994013.43+29357.05+5336015.56-584866.61</f>
        <v>8774519.4299999997</v>
      </c>
      <c r="U12" s="152">
        <f t="shared" si="10"/>
        <v>0</v>
      </c>
    </row>
    <row r="13" spans="1:23" s="112" customFormat="1" x14ac:dyDescent="0.2">
      <c r="A13" s="110" t="s">
        <v>7</v>
      </c>
      <c r="B13" s="134">
        <f>B14+B15+B16+B17</f>
        <v>340281400</v>
      </c>
      <c r="C13" s="134">
        <f>C14+C15+C16+C17</f>
        <v>452957400</v>
      </c>
      <c r="D13" s="135">
        <f t="shared" si="0"/>
        <v>4.9364923583030169</v>
      </c>
      <c r="E13" s="135">
        <f t="shared" si="11"/>
        <v>112676000</v>
      </c>
      <c r="F13" s="134">
        <f>F14+F15+F16+F17</f>
        <v>455995831.34000003</v>
      </c>
      <c r="G13" s="135">
        <f t="shared" si="1"/>
        <v>4.9233661531133208</v>
      </c>
      <c r="H13" s="135">
        <f t="shared" si="5"/>
        <v>100.67079847685456</v>
      </c>
      <c r="I13" s="134">
        <f>I14+I15+I16+I17</f>
        <v>373590000</v>
      </c>
      <c r="J13" s="134">
        <f>J14+J15+J16+J17</f>
        <v>494004000</v>
      </c>
      <c r="K13" s="134">
        <f>K14+K15+K16+K17</f>
        <v>494004000</v>
      </c>
      <c r="L13" s="134">
        <f t="shared" si="6"/>
        <v>0</v>
      </c>
      <c r="M13" s="135">
        <f t="shared" si="2"/>
        <v>6.308189486460317</v>
      </c>
      <c r="N13" s="135">
        <f t="shared" si="7"/>
        <v>120414000</v>
      </c>
      <c r="O13" s="134">
        <f>O14+O15+O16+O17</f>
        <v>507173151.39999998</v>
      </c>
      <c r="P13" s="135">
        <f t="shared" si="3"/>
        <v>6.2018516652309588</v>
      </c>
      <c r="Q13" s="135">
        <f t="shared" si="8"/>
        <v>102.66579853604424</v>
      </c>
      <c r="R13" s="135">
        <f t="shared" si="9"/>
        <v>13169151.399999976</v>
      </c>
      <c r="S13" s="135">
        <f t="shared" si="4"/>
        <v>51177320.059999943</v>
      </c>
      <c r="T13" s="134">
        <f>T14+T15+T16+T17</f>
        <v>507173151.40000004</v>
      </c>
      <c r="U13" s="152">
        <f t="shared" si="10"/>
        <v>0</v>
      </c>
    </row>
    <row r="14" spans="1:23" s="112" customFormat="1" ht="45" x14ac:dyDescent="0.2">
      <c r="A14" s="115" t="s">
        <v>161</v>
      </c>
      <c r="B14" s="134">
        <v>231200000</v>
      </c>
      <c r="C14" s="134">
        <v>343000000</v>
      </c>
      <c r="D14" s="135">
        <f t="shared" si="0"/>
        <v>3.7381371380574304</v>
      </c>
      <c r="E14" s="135">
        <f t="shared" si="11"/>
        <v>111800000</v>
      </c>
      <c r="F14" s="134">
        <f>347442490.54+72673.87</f>
        <v>347515164.41000003</v>
      </c>
      <c r="G14" s="135">
        <f t="shared" si="1"/>
        <v>3.7521053495642351</v>
      </c>
      <c r="H14" s="135">
        <f t="shared" si="5"/>
        <v>101.31637446355685</v>
      </c>
      <c r="I14" s="134">
        <v>270000000</v>
      </c>
      <c r="J14" s="134">
        <v>395000000</v>
      </c>
      <c r="K14" s="134">
        <v>395000000</v>
      </c>
      <c r="L14" s="134">
        <f t="shared" si="6"/>
        <v>0</v>
      </c>
      <c r="M14" s="135">
        <f t="shared" si="2"/>
        <v>5.0439568245435762</v>
      </c>
      <c r="N14" s="135">
        <f t="shared" si="7"/>
        <v>125000000</v>
      </c>
      <c r="O14" s="134">
        <v>408526529.77999997</v>
      </c>
      <c r="P14" s="135">
        <f t="shared" si="3"/>
        <v>4.9955738627198905</v>
      </c>
      <c r="Q14" s="135">
        <f t="shared" si="8"/>
        <v>103.42443791898734</v>
      </c>
      <c r="R14" s="135">
        <f t="shared" si="9"/>
        <v>13526529.779999971</v>
      </c>
      <c r="S14" s="135">
        <f t="shared" si="4"/>
        <v>61011365.369999945</v>
      </c>
      <c r="T14" s="134">
        <f>319126672.47+412638.2+88958801.63+28417.48</f>
        <v>408526529.78000003</v>
      </c>
      <c r="U14" s="152">
        <f t="shared" si="10"/>
        <v>0</v>
      </c>
    </row>
    <row r="15" spans="1:23" s="112" customFormat="1" ht="45" x14ac:dyDescent="0.2">
      <c r="A15" s="115" t="s">
        <v>119</v>
      </c>
      <c r="B15" s="134">
        <v>82822400</v>
      </c>
      <c r="C15" s="134">
        <v>82822400</v>
      </c>
      <c r="D15" s="135">
        <f t="shared" si="0"/>
        <v>0.90262824869693226</v>
      </c>
      <c r="E15" s="135">
        <f t="shared" si="11"/>
        <v>0</v>
      </c>
      <c r="F15" s="134">
        <v>80579188.140000001</v>
      </c>
      <c r="G15" s="135">
        <f t="shared" si="1"/>
        <v>0.87000981208098571</v>
      </c>
      <c r="H15" s="135">
        <f t="shared" si="5"/>
        <v>97.291539655938493</v>
      </c>
      <c r="I15" s="134">
        <v>76400000</v>
      </c>
      <c r="J15" s="134">
        <v>72414000</v>
      </c>
      <c r="K15" s="134">
        <v>72414000</v>
      </c>
      <c r="L15" s="134">
        <f t="shared" si="6"/>
        <v>0</v>
      </c>
      <c r="M15" s="135">
        <f t="shared" si="2"/>
        <v>0.92469136580379385</v>
      </c>
      <c r="N15" s="135">
        <f t="shared" si="7"/>
        <v>-3986000</v>
      </c>
      <c r="O15" s="134">
        <v>72524633.519999996</v>
      </c>
      <c r="P15" s="135">
        <f t="shared" si="3"/>
        <v>0.88685100527243144</v>
      </c>
      <c r="Q15" s="135">
        <f t="shared" si="8"/>
        <v>100.15277918634517</v>
      </c>
      <c r="R15" s="135">
        <f t="shared" si="9"/>
        <v>110633.51999999583</v>
      </c>
      <c r="S15" s="135">
        <f t="shared" si="4"/>
        <v>-8054554.6200000048</v>
      </c>
      <c r="T15" s="134">
        <f>71822263.6+702369.92</f>
        <v>72524633.519999996</v>
      </c>
      <c r="U15" s="152">
        <f t="shared" si="10"/>
        <v>0</v>
      </c>
    </row>
    <row r="16" spans="1:23" s="112" customFormat="1" ht="30" x14ac:dyDescent="0.2">
      <c r="A16" s="115" t="s">
        <v>50</v>
      </c>
      <c r="B16" s="134">
        <v>650000</v>
      </c>
      <c r="C16" s="134">
        <v>1526000</v>
      </c>
      <c r="D16" s="135">
        <f t="shared" si="0"/>
        <v>1.6630895838704488E-2</v>
      </c>
      <c r="E16" s="135">
        <f t="shared" si="11"/>
        <v>876000</v>
      </c>
      <c r="F16" s="134">
        <v>1527230</v>
      </c>
      <c r="G16" s="135">
        <f t="shared" si="1"/>
        <v>1.6489432519423294E-2</v>
      </c>
      <c r="H16" s="135">
        <f t="shared" si="5"/>
        <v>100.08060288335518</v>
      </c>
      <c r="I16" s="134">
        <v>1190000</v>
      </c>
      <c r="J16" s="134">
        <v>1298000</v>
      </c>
      <c r="K16" s="134">
        <v>1298000</v>
      </c>
      <c r="L16" s="134">
        <f t="shared" si="6"/>
        <v>0</v>
      </c>
      <c r="M16" s="135">
        <f t="shared" si="2"/>
        <v>1.6574825210778639E-2</v>
      </c>
      <c r="N16" s="135">
        <f t="shared" si="7"/>
        <v>108000</v>
      </c>
      <c r="O16" s="134">
        <v>1298249.6200000001</v>
      </c>
      <c r="P16" s="135">
        <f t="shared" si="3"/>
        <v>1.5875350549328114E-2</v>
      </c>
      <c r="Q16" s="135">
        <f t="shared" si="8"/>
        <v>100.01923112480739</v>
      </c>
      <c r="R16" s="135">
        <f t="shared" si="9"/>
        <v>249.62000000011176</v>
      </c>
      <c r="S16" s="135">
        <f t="shared" si="4"/>
        <v>-228980.37999999989</v>
      </c>
      <c r="T16" s="134">
        <v>1298249.6200000001</v>
      </c>
      <c r="U16" s="152">
        <f t="shared" si="10"/>
        <v>0</v>
      </c>
    </row>
    <row r="17" spans="1:21" s="112" customFormat="1" ht="45" x14ac:dyDescent="0.2">
      <c r="A17" s="115" t="s">
        <v>171</v>
      </c>
      <c r="B17" s="137">
        <v>25609000</v>
      </c>
      <c r="C17" s="137">
        <v>25609000</v>
      </c>
      <c r="D17" s="135">
        <f t="shared" si="0"/>
        <v>0.27909607570994965</v>
      </c>
      <c r="E17" s="135">
        <f t="shared" si="11"/>
        <v>0</v>
      </c>
      <c r="F17" s="137">
        <v>26374248.789999999</v>
      </c>
      <c r="G17" s="135">
        <f t="shared" si="1"/>
        <v>0.284761558948676</v>
      </c>
      <c r="H17" s="135">
        <f t="shared" si="5"/>
        <v>102.98820254597993</v>
      </c>
      <c r="I17" s="137">
        <v>26000000</v>
      </c>
      <c r="J17" s="137">
        <v>25292000</v>
      </c>
      <c r="K17" s="137">
        <v>25292000</v>
      </c>
      <c r="L17" s="134">
        <f t="shared" si="6"/>
        <v>0</v>
      </c>
      <c r="M17" s="135">
        <f t="shared" si="2"/>
        <v>0.32296647090216746</v>
      </c>
      <c r="N17" s="135">
        <f t="shared" si="7"/>
        <v>-708000</v>
      </c>
      <c r="O17" s="137">
        <v>24823738.48</v>
      </c>
      <c r="P17" s="135">
        <f t="shared" si="3"/>
        <v>0.30355144668930878</v>
      </c>
      <c r="Q17" s="135">
        <f t="shared" si="8"/>
        <v>98.148578522853086</v>
      </c>
      <c r="R17" s="135">
        <f t="shared" si="9"/>
        <v>-468261.51999999955</v>
      </c>
      <c r="S17" s="135">
        <f t="shared" si="4"/>
        <v>-1550510.3099999987</v>
      </c>
      <c r="T17" s="140">
        <v>24823738.48</v>
      </c>
      <c r="U17" s="152">
        <f t="shared" si="10"/>
        <v>0</v>
      </c>
    </row>
    <row r="18" spans="1:21" s="112" customFormat="1" x14ac:dyDescent="0.2">
      <c r="A18" s="115" t="s">
        <v>10</v>
      </c>
      <c r="B18" s="134">
        <f>B19+B20</f>
        <v>119700000</v>
      </c>
      <c r="C18" s="134">
        <f>C19+C20</f>
        <v>107200000</v>
      </c>
      <c r="D18" s="135">
        <f t="shared" si="0"/>
        <v>1.1683040851304858</v>
      </c>
      <c r="E18" s="135">
        <f t="shared" si="11"/>
        <v>-12500000</v>
      </c>
      <c r="F18" s="134">
        <f>F19+F20</f>
        <v>119513017.16999999</v>
      </c>
      <c r="G18" s="135">
        <f t="shared" si="1"/>
        <v>1.2903765849396569</v>
      </c>
      <c r="H18" s="135">
        <f t="shared" si="5"/>
        <v>111.48602347947761</v>
      </c>
      <c r="I18" s="134">
        <f>I19+I20</f>
        <v>90000000</v>
      </c>
      <c r="J18" s="134">
        <f>J19+J20</f>
        <v>109032000</v>
      </c>
      <c r="K18" s="134">
        <f>K19+K20</f>
        <v>109032000</v>
      </c>
      <c r="L18" s="134">
        <f t="shared" si="6"/>
        <v>0</v>
      </c>
      <c r="M18" s="135">
        <f t="shared" si="2"/>
        <v>1.3922853177054058</v>
      </c>
      <c r="N18" s="135">
        <f t="shared" si="7"/>
        <v>19032000</v>
      </c>
      <c r="O18" s="134">
        <f>O19+O20</f>
        <v>120906835.81</v>
      </c>
      <c r="P18" s="135">
        <f t="shared" si="3"/>
        <v>1.4784817747867374</v>
      </c>
      <c r="Q18" s="135">
        <f t="shared" si="8"/>
        <v>110.89114737875119</v>
      </c>
      <c r="R18" s="135">
        <f t="shared" si="9"/>
        <v>11874835.810000002</v>
      </c>
      <c r="S18" s="135">
        <f t="shared" si="4"/>
        <v>1393818.6400000155</v>
      </c>
      <c r="T18" s="134">
        <f>T19+T20</f>
        <v>120906835.81</v>
      </c>
      <c r="U18" s="152">
        <f t="shared" si="10"/>
        <v>0</v>
      </c>
    </row>
    <row r="19" spans="1:21" s="112" customFormat="1" ht="30" x14ac:dyDescent="0.2">
      <c r="A19" s="116" t="s">
        <v>200</v>
      </c>
      <c r="B19" s="134">
        <v>40000000</v>
      </c>
      <c r="C19" s="134">
        <v>40000000</v>
      </c>
      <c r="D19" s="135">
        <f t="shared" si="0"/>
        <v>0.43593436012331555</v>
      </c>
      <c r="E19" s="135">
        <f t="shared" si="11"/>
        <v>0</v>
      </c>
      <c r="F19" s="134">
        <v>49772566.509999998</v>
      </c>
      <c r="G19" s="135">
        <f t="shared" si="1"/>
        <v>0.53739212612714049</v>
      </c>
      <c r="H19" s="135">
        <f t="shared" si="5"/>
        <v>124.43141627499999</v>
      </c>
      <c r="I19" s="134">
        <v>30000000</v>
      </c>
      <c r="J19" s="134">
        <v>49032000</v>
      </c>
      <c r="K19" s="134">
        <v>49032000</v>
      </c>
      <c r="L19" s="134">
        <f t="shared" si="6"/>
        <v>0</v>
      </c>
      <c r="M19" s="135">
        <f t="shared" si="2"/>
        <v>0.6261146608127105</v>
      </c>
      <c r="N19" s="135">
        <f t="shared" si="7"/>
        <v>19032000</v>
      </c>
      <c r="O19" s="134">
        <v>58185962.57</v>
      </c>
      <c r="P19" s="135">
        <f t="shared" si="3"/>
        <v>0.71151382493671333</v>
      </c>
      <c r="Q19" s="135">
        <f t="shared" si="8"/>
        <v>118.66936402757382</v>
      </c>
      <c r="R19" s="135">
        <f t="shared" si="9"/>
        <v>9153962.5700000003</v>
      </c>
      <c r="S19" s="135">
        <f t="shared" si="4"/>
        <v>8413396.0600000024</v>
      </c>
      <c r="T19" s="134">
        <v>58185962.57</v>
      </c>
      <c r="U19" s="152">
        <f t="shared" si="10"/>
        <v>0</v>
      </c>
    </row>
    <row r="20" spans="1:21" s="112" customFormat="1" x14ac:dyDescent="0.2">
      <c r="A20" s="116" t="s">
        <v>12</v>
      </c>
      <c r="B20" s="134">
        <v>79700000</v>
      </c>
      <c r="C20" s="134">
        <v>67200000</v>
      </c>
      <c r="D20" s="135">
        <f t="shared" si="0"/>
        <v>0.73236972500717012</v>
      </c>
      <c r="E20" s="135">
        <f t="shared" si="11"/>
        <v>-12500000</v>
      </c>
      <c r="F20" s="134">
        <v>69740450.659999996</v>
      </c>
      <c r="G20" s="135">
        <f t="shared" si="1"/>
        <v>0.75298445881251652</v>
      </c>
      <c r="H20" s="135">
        <f t="shared" si="5"/>
        <v>103.7804325297619</v>
      </c>
      <c r="I20" s="134">
        <v>60000000</v>
      </c>
      <c r="J20" s="134">
        <v>60000000</v>
      </c>
      <c r="K20" s="134">
        <v>60000000</v>
      </c>
      <c r="L20" s="134">
        <f t="shared" si="6"/>
        <v>0</v>
      </c>
      <c r="M20" s="135">
        <f t="shared" si="2"/>
        <v>0.76617065689269526</v>
      </c>
      <c r="N20" s="135">
        <f t="shared" si="7"/>
        <v>0</v>
      </c>
      <c r="O20" s="134">
        <v>62720873.240000002</v>
      </c>
      <c r="P20" s="135">
        <f t="shared" si="3"/>
        <v>0.76696794985002426</v>
      </c>
      <c r="Q20" s="135">
        <f t="shared" si="8"/>
        <v>104.53478873333333</v>
      </c>
      <c r="R20" s="135">
        <f t="shared" si="9"/>
        <v>2720873.2400000021</v>
      </c>
      <c r="S20" s="135">
        <f t="shared" si="4"/>
        <v>-7019577.4199999943</v>
      </c>
      <c r="T20" s="134">
        <f>50602155.39+12118717.85</f>
        <v>62720873.240000002</v>
      </c>
      <c r="U20" s="152">
        <f t="shared" si="10"/>
        <v>0</v>
      </c>
    </row>
    <row r="21" spans="1:21" s="112" customFormat="1" x14ac:dyDescent="0.2">
      <c r="A21" s="115" t="s">
        <v>18</v>
      </c>
      <c r="B21" s="134">
        <f>B22+B23</f>
        <v>21825000</v>
      </c>
      <c r="C21" s="134">
        <f>C22+C23</f>
        <v>21840500</v>
      </c>
      <c r="D21" s="135">
        <f t="shared" si="0"/>
        <v>0.23802560980683179</v>
      </c>
      <c r="E21" s="135">
        <f t="shared" si="11"/>
        <v>15500</v>
      </c>
      <c r="F21" s="134">
        <f>F22+F23</f>
        <v>21695338.579999998</v>
      </c>
      <c r="G21" s="135">
        <f t="shared" si="1"/>
        <v>0.23424357922575564</v>
      </c>
      <c r="H21" s="135">
        <f t="shared" si="5"/>
        <v>99.335356699709237</v>
      </c>
      <c r="I21" s="134">
        <f>I22+I23</f>
        <v>21825000</v>
      </c>
      <c r="J21" s="134">
        <f>J22+J23</f>
        <v>22186000</v>
      </c>
      <c r="K21" s="134">
        <f>K22+K23</f>
        <v>22186000</v>
      </c>
      <c r="L21" s="134">
        <f t="shared" si="6"/>
        <v>0</v>
      </c>
      <c r="M21" s="135">
        <f t="shared" si="2"/>
        <v>0.28330436989702229</v>
      </c>
      <c r="N21" s="135">
        <f t="shared" si="7"/>
        <v>361000</v>
      </c>
      <c r="O21" s="134">
        <f>O22+O23</f>
        <v>21971749.68</v>
      </c>
      <c r="P21" s="135">
        <f t="shared" si="3"/>
        <v>0.26867654954683351</v>
      </c>
      <c r="Q21" s="135">
        <f t="shared" si="8"/>
        <v>99.034299468133057</v>
      </c>
      <c r="R21" s="135">
        <f t="shared" si="9"/>
        <v>-214250.3200000003</v>
      </c>
      <c r="S21" s="135">
        <f t="shared" si="4"/>
        <v>276411.10000000149</v>
      </c>
      <c r="T21" s="134">
        <f>T22+T23</f>
        <v>21971749.68</v>
      </c>
      <c r="U21" s="152">
        <f t="shared" si="10"/>
        <v>0</v>
      </c>
    </row>
    <row r="22" spans="1:21" s="112" customFormat="1" ht="60" x14ac:dyDescent="0.2">
      <c r="A22" s="116" t="s">
        <v>165</v>
      </c>
      <c r="B22" s="134">
        <v>21700000</v>
      </c>
      <c r="C22" s="134">
        <v>21700000</v>
      </c>
      <c r="D22" s="135">
        <f t="shared" si="0"/>
        <v>0.23649439036689868</v>
      </c>
      <c r="E22" s="138">
        <f>C22-B22</f>
        <v>0</v>
      </c>
      <c r="F22" s="134">
        <v>21553538.579999998</v>
      </c>
      <c r="G22" s="135">
        <f t="shared" si="1"/>
        <v>0.23271257110565963</v>
      </c>
      <c r="H22" s="135">
        <f t="shared" si="5"/>
        <v>99.325062580645152</v>
      </c>
      <c r="I22" s="134">
        <v>21700000</v>
      </c>
      <c r="J22" s="134">
        <v>22071000</v>
      </c>
      <c r="K22" s="134">
        <v>22071000</v>
      </c>
      <c r="L22" s="134">
        <f t="shared" si="6"/>
        <v>0</v>
      </c>
      <c r="M22" s="135">
        <f t="shared" si="2"/>
        <v>0.28183587613797795</v>
      </c>
      <c r="N22" s="135">
        <f t="shared" si="7"/>
        <v>371000</v>
      </c>
      <c r="O22" s="134">
        <v>21866149.68</v>
      </c>
      <c r="P22" s="135">
        <f t="shared" si="3"/>
        <v>0.26738524393643093</v>
      </c>
      <c r="Q22" s="135">
        <f t="shared" si="8"/>
        <v>99.071857550632046</v>
      </c>
      <c r="R22" s="135">
        <f t="shared" si="9"/>
        <v>-204850.3200000003</v>
      </c>
      <c r="S22" s="135">
        <f t="shared" si="4"/>
        <v>312611.10000000149</v>
      </c>
      <c r="T22" s="134">
        <v>21866149.68</v>
      </c>
      <c r="U22" s="152">
        <f t="shared" si="10"/>
        <v>0</v>
      </c>
    </row>
    <row r="23" spans="1:21" s="112" customFormat="1" ht="79.5" customHeight="1" x14ac:dyDescent="0.2">
      <c r="A23" s="116" t="s">
        <v>201</v>
      </c>
      <c r="B23" s="134">
        <v>125000</v>
      </c>
      <c r="C23" s="134">
        <v>140500</v>
      </c>
      <c r="D23" s="135">
        <f t="shared" si="0"/>
        <v>1.531219439933146E-3</v>
      </c>
      <c r="E23" s="135">
        <f t="shared" ref="E23:E70" si="12">C23-B23</f>
        <v>15500</v>
      </c>
      <c r="F23" s="134">
        <f>116800+25000</f>
        <v>141800</v>
      </c>
      <c r="G23" s="135">
        <f t="shared" si="1"/>
        <v>1.531008120096006E-3</v>
      </c>
      <c r="H23" s="135">
        <f t="shared" si="5"/>
        <v>100.92526690391459</v>
      </c>
      <c r="I23" s="134">
        <v>125000</v>
      </c>
      <c r="J23" s="134">
        <v>115000</v>
      </c>
      <c r="K23" s="134">
        <v>115000</v>
      </c>
      <c r="L23" s="134">
        <f t="shared" si="6"/>
        <v>0</v>
      </c>
      <c r="M23" s="135">
        <f t="shared" si="2"/>
        <v>1.4684937590443326E-3</v>
      </c>
      <c r="N23" s="135">
        <f t="shared" si="7"/>
        <v>-10000</v>
      </c>
      <c r="O23" s="134">
        <v>105600</v>
      </c>
      <c r="P23" s="135">
        <f t="shared" si="3"/>
        <v>1.2913056104026041E-3</v>
      </c>
      <c r="Q23" s="135">
        <f t="shared" si="8"/>
        <v>91.826086956521735</v>
      </c>
      <c r="R23" s="135">
        <f t="shared" si="9"/>
        <v>-9400</v>
      </c>
      <c r="S23" s="135">
        <f t="shared" si="4"/>
        <v>-36200</v>
      </c>
      <c r="T23" s="134">
        <v>105600</v>
      </c>
      <c r="U23" s="152">
        <f t="shared" si="10"/>
        <v>0</v>
      </c>
    </row>
    <row r="24" spans="1:21" s="80" customFormat="1" ht="20.25" customHeight="1" x14ac:dyDescent="0.2">
      <c r="A24" s="85" t="s">
        <v>20</v>
      </c>
      <c r="B24" s="107">
        <f>B25+B30+B32+B35+B39+B58+B70</f>
        <v>352599740</v>
      </c>
      <c r="C24" s="107">
        <f>C25+C30+C32+C35+C39+C58</f>
        <v>434160712</v>
      </c>
      <c r="D24" s="133">
        <f t="shared" si="0"/>
        <v>4.7316393044100771</v>
      </c>
      <c r="E24" s="133">
        <f t="shared" si="12"/>
        <v>81560972</v>
      </c>
      <c r="F24" s="107">
        <f>F25+F30+F32+F35+F39+F58</f>
        <v>475320436.98999995</v>
      </c>
      <c r="G24" s="133">
        <f t="shared" si="1"/>
        <v>5.1320130372304078</v>
      </c>
      <c r="H24" s="133">
        <f t="shared" si="5"/>
        <v>109.48029700808118</v>
      </c>
      <c r="I24" s="107">
        <f>I25+I30+I32+I35+I39+I58+I70</f>
        <v>373566400</v>
      </c>
      <c r="J24" s="107">
        <f>J25+J30+J32+J35+J39+J58</f>
        <v>529252771</v>
      </c>
      <c r="K24" s="107">
        <f>K25+K30+K32+K35+K39+K58</f>
        <v>529252771</v>
      </c>
      <c r="L24" s="128">
        <f t="shared" si="6"/>
        <v>0</v>
      </c>
      <c r="M24" s="133">
        <f t="shared" si="2"/>
        <v>6.7582990536558194</v>
      </c>
      <c r="N24" s="133">
        <f t="shared" si="7"/>
        <v>155686371</v>
      </c>
      <c r="O24" s="107">
        <f>O25+O30+O32+O35+O39+O58</f>
        <v>564533902.24000013</v>
      </c>
      <c r="P24" s="133">
        <f t="shared" si="3"/>
        <v>6.9032745759941987</v>
      </c>
      <c r="Q24" s="133">
        <f t="shared" si="8"/>
        <v>106.66621568619054</v>
      </c>
      <c r="R24" s="133">
        <f t="shared" si="9"/>
        <v>35281131.240000129</v>
      </c>
      <c r="S24" s="139">
        <f t="shared" si="4"/>
        <v>89213465.250000179</v>
      </c>
      <c r="T24" s="107">
        <f>T25+T30+T32+T35+T39+T58</f>
        <v>564533902.24000013</v>
      </c>
      <c r="U24" s="143">
        <f t="shared" si="10"/>
        <v>0</v>
      </c>
    </row>
    <row r="25" spans="1:21" s="112" customFormat="1" ht="60" x14ac:dyDescent="0.2">
      <c r="A25" s="115" t="s">
        <v>202</v>
      </c>
      <c r="B25" s="140">
        <f>B26+B27+B28+B29</f>
        <v>300150000</v>
      </c>
      <c r="C25" s="140">
        <f>C26+C27+C28+C29</f>
        <v>324481930</v>
      </c>
      <c r="D25" s="135">
        <f t="shared" si="0"/>
        <v>3.5363205631532111</v>
      </c>
      <c r="E25" s="135">
        <f t="shared" si="12"/>
        <v>24331930</v>
      </c>
      <c r="F25" s="140">
        <f>F26+F27+F28+F29</f>
        <v>364581709.77999997</v>
      </c>
      <c r="G25" s="135">
        <f t="shared" si="1"/>
        <v>3.9363720600258487</v>
      </c>
      <c r="H25" s="135">
        <f t="shared" si="5"/>
        <v>112.35809333974314</v>
      </c>
      <c r="I25" s="140">
        <f>I26+I27+I28+I29</f>
        <v>314427100</v>
      </c>
      <c r="J25" s="140">
        <f>J26+J27+J28+J29</f>
        <v>387256589</v>
      </c>
      <c r="K25" s="140">
        <f>K26+K27+K28+K29</f>
        <v>387256589</v>
      </c>
      <c r="L25" s="134">
        <f t="shared" si="6"/>
        <v>0</v>
      </c>
      <c r="M25" s="135">
        <f t="shared" si="2"/>
        <v>4.9450772530025748</v>
      </c>
      <c r="N25" s="135">
        <f t="shared" si="7"/>
        <v>72829489</v>
      </c>
      <c r="O25" s="140">
        <f>O26+O27+O28+O29</f>
        <v>408325166.48000002</v>
      </c>
      <c r="P25" s="135">
        <f t="shared" si="3"/>
        <v>4.9931115373503916</v>
      </c>
      <c r="Q25" s="135">
        <f t="shared" si="8"/>
        <v>105.44046972432535</v>
      </c>
      <c r="R25" s="135">
        <f t="shared" si="9"/>
        <v>21068577.480000019</v>
      </c>
      <c r="S25" s="135">
        <f t="shared" si="4"/>
        <v>43743456.700000048</v>
      </c>
      <c r="T25" s="140">
        <f>T26+T27+T28+T29</f>
        <v>408325166.48000002</v>
      </c>
      <c r="U25" s="152">
        <f t="shared" si="10"/>
        <v>0</v>
      </c>
    </row>
    <row r="26" spans="1:21" s="112" customFormat="1" ht="138.75" customHeight="1" x14ac:dyDescent="0.2">
      <c r="A26" s="115" t="s">
        <v>203</v>
      </c>
      <c r="B26" s="134">
        <v>2300000</v>
      </c>
      <c r="C26" s="134">
        <v>10342928</v>
      </c>
      <c r="D26" s="135">
        <f t="shared" si="0"/>
        <v>0.11272094248703809</v>
      </c>
      <c r="E26" s="135">
        <f t="shared" si="12"/>
        <v>8042928</v>
      </c>
      <c r="F26" s="134">
        <v>14006983.76</v>
      </c>
      <c r="G26" s="135">
        <f t="shared" si="1"/>
        <v>0.15123276357272836</v>
      </c>
      <c r="H26" s="135">
        <f t="shared" si="5"/>
        <v>135.42571078518577</v>
      </c>
      <c r="I26" s="134">
        <v>14024800</v>
      </c>
      <c r="J26" s="134">
        <v>4315794</v>
      </c>
      <c r="K26" s="134">
        <v>4315794</v>
      </c>
      <c r="L26" s="134">
        <f t="shared" si="6"/>
        <v>0</v>
      </c>
      <c r="M26" s="135">
        <f t="shared" si="2"/>
        <v>5.5110578733225883E-2</v>
      </c>
      <c r="N26" s="135">
        <f t="shared" si="7"/>
        <v>-9709006</v>
      </c>
      <c r="O26" s="134">
        <v>4315794.43</v>
      </c>
      <c r="P26" s="135">
        <f t="shared" si="3"/>
        <v>5.2774711750031324E-2</v>
      </c>
      <c r="Q26" s="135">
        <f t="shared" si="8"/>
        <v>100.00000996340417</v>
      </c>
      <c r="R26" s="135">
        <f t="shared" si="9"/>
        <v>0.42999999970197678</v>
      </c>
      <c r="S26" s="135">
        <f t="shared" si="4"/>
        <v>-9691189.3300000001</v>
      </c>
      <c r="T26" s="134">
        <v>4315794.43</v>
      </c>
      <c r="U26" s="152">
        <f t="shared" si="10"/>
        <v>0</v>
      </c>
    </row>
    <row r="27" spans="1:21" s="112" customFormat="1" ht="162.75" customHeight="1" x14ac:dyDescent="0.2">
      <c r="A27" s="115" t="s">
        <v>204</v>
      </c>
      <c r="B27" s="134">
        <v>295450000</v>
      </c>
      <c r="C27" s="134">
        <v>308912002</v>
      </c>
      <c r="D27" s="135">
        <f t="shared" si="0"/>
        <v>3.3666338981570592</v>
      </c>
      <c r="E27" s="135">
        <f t="shared" si="12"/>
        <v>13462002</v>
      </c>
      <c r="F27" s="134">
        <v>345413860.5</v>
      </c>
      <c r="G27" s="135">
        <f t="shared" si="1"/>
        <v>3.7294176672722781</v>
      </c>
      <c r="H27" s="135">
        <f t="shared" si="5"/>
        <v>111.81626426415119</v>
      </c>
      <c r="I27" s="134">
        <v>297087500</v>
      </c>
      <c r="J27" s="134">
        <v>378598545</v>
      </c>
      <c r="K27" s="134">
        <v>378598545</v>
      </c>
      <c r="L27" s="134">
        <f t="shared" si="6"/>
        <v>0</v>
      </c>
      <c r="M27" s="135">
        <f t="shared" si="2"/>
        <v>4.8345182653544772</v>
      </c>
      <c r="N27" s="135">
        <f t="shared" si="7"/>
        <v>81511045</v>
      </c>
      <c r="O27" s="134">
        <v>399810043.12</v>
      </c>
      <c r="P27" s="135">
        <f t="shared" si="3"/>
        <v>4.8889862857591195</v>
      </c>
      <c r="Q27" s="135">
        <f t="shared" si="8"/>
        <v>105.60263593194739</v>
      </c>
      <c r="R27" s="135">
        <f t="shared" si="9"/>
        <v>21211498.120000005</v>
      </c>
      <c r="S27" s="135">
        <f t="shared" si="4"/>
        <v>54396182.620000005</v>
      </c>
      <c r="T27" s="134">
        <f>18627.84+38954079.11+360239440.12+597896.05</f>
        <v>399810043.12</v>
      </c>
      <c r="U27" s="152">
        <f t="shared" si="10"/>
        <v>0</v>
      </c>
    </row>
    <row r="28" spans="1:21" s="112" customFormat="1" ht="45" x14ac:dyDescent="0.2">
      <c r="A28" s="117" t="s">
        <v>166</v>
      </c>
      <c r="B28" s="134">
        <v>100000</v>
      </c>
      <c r="C28" s="134">
        <v>227000</v>
      </c>
      <c r="D28" s="135">
        <f t="shared" si="0"/>
        <v>2.4739274936998157E-3</v>
      </c>
      <c r="E28" s="135">
        <f t="shared" si="12"/>
        <v>127000</v>
      </c>
      <c r="F28" s="134">
        <v>227000</v>
      </c>
      <c r="G28" s="135">
        <f t="shared" si="1"/>
        <v>2.4509086266699107E-3</v>
      </c>
      <c r="H28" s="135">
        <f t="shared" si="5"/>
        <v>100</v>
      </c>
      <c r="I28" s="134">
        <v>314800</v>
      </c>
      <c r="J28" s="134">
        <v>42250</v>
      </c>
      <c r="K28" s="134">
        <v>42250</v>
      </c>
      <c r="L28" s="134">
        <f t="shared" si="6"/>
        <v>0</v>
      </c>
      <c r="M28" s="135">
        <f t="shared" si="2"/>
        <v>5.3951183756193962E-4</v>
      </c>
      <c r="N28" s="135">
        <f t="shared" si="7"/>
        <v>-272550</v>
      </c>
      <c r="O28" s="134">
        <v>42250</v>
      </c>
      <c r="P28" s="135">
        <f t="shared" si="3"/>
        <v>5.1664452688929947E-4</v>
      </c>
      <c r="Q28" s="135">
        <f t="shared" si="8"/>
        <v>100</v>
      </c>
      <c r="R28" s="135">
        <f t="shared" si="9"/>
        <v>0</v>
      </c>
      <c r="S28" s="135">
        <f t="shared" si="4"/>
        <v>-184750</v>
      </c>
      <c r="T28" s="134">
        <v>42250</v>
      </c>
      <c r="U28" s="152">
        <f t="shared" si="10"/>
        <v>0</v>
      </c>
    </row>
    <row r="29" spans="1:21" s="112" customFormat="1" ht="150" x14ac:dyDescent="0.2">
      <c r="A29" s="115" t="s">
        <v>206</v>
      </c>
      <c r="B29" s="134">
        <v>2300000</v>
      </c>
      <c r="C29" s="134">
        <v>5000000</v>
      </c>
      <c r="D29" s="135">
        <f t="shared" si="0"/>
        <v>5.4491795015414443E-2</v>
      </c>
      <c r="E29" s="135">
        <f t="shared" si="12"/>
        <v>2700000</v>
      </c>
      <c r="F29" s="134">
        <v>4933865.5199999996</v>
      </c>
      <c r="G29" s="135">
        <f t="shared" si="1"/>
        <v>5.3270720554172792E-2</v>
      </c>
      <c r="H29" s="135">
        <f t="shared" si="5"/>
        <v>98.677310399999996</v>
      </c>
      <c r="I29" s="134">
        <v>3000000</v>
      </c>
      <c r="J29" s="134">
        <v>4300000</v>
      </c>
      <c r="K29" s="134">
        <v>4300000</v>
      </c>
      <c r="L29" s="134">
        <f t="shared" si="6"/>
        <v>0</v>
      </c>
      <c r="M29" s="135">
        <f t="shared" si="2"/>
        <v>5.490889707730983E-2</v>
      </c>
      <c r="N29" s="135">
        <f t="shared" si="7"/>
        <v>1300000</v>
      </c>
      <c r="O29" s="134">
        <v>4157078.93</v>
      </c>
      <c r="P29" s="135">
        <f t="shared" si="3"/>
        <v>5.083389531435089E-2</v>
      </c>
      <c r="Q29" s="135">
        <f t="shared" si="8"/>
        <v>96.676254186046521</v>
      </c>
      <c r="R29" s="135">
        <f t="shared" si="9"/>
        <v>-142921.06999999983</v>
      </c>
      <c r="S29" s="135">
        <f t="shared" si="4"/>
        <v>-776786.58999999939</v>
      </c>
      <c r="T29" s="134">
        <v>4157078.93</v>
      </c>
      <c r="U29" s="152">
        <f t="shared" si="10"/>
        <v>0</v>
      </c>
    </row>
    <row r="30" spans="1:21" s="112" customFormat="1" ht="30" x14ac:dyDescent="0.2">
      <c r="A30" s="115" t="s">
        <v>26</v>
      </c>
      <c r="B30" s="134">
        <f>B31</f>
        <v>7796740</v>
      </c>
      <c r="C30" s="134">
        <f>C31</f>
        <v>7961746</v>
      </c>
      <c r="D30" s="135">
        <f t="shared" si="0"/>
        <v>8.6769966199359172E-2</v>
      </c>
      <c r="E30" s="135">
        <f t="shared" si="12"/>
        <v>165006</v>
      </c>
      <c r="F30" s="134">
        <f>F31</f>
        <v>7131563.4000000004</v>
      </c>
      <c r="G30" s="135">
        <f t="shared" si="1"/>
        <v>7.6999164135257259E-2</v>
      </c>
      <c r="H30" s="135">
        <f t="shared" si="5"/>
        <v>89.572857511405175</v>
      </c>
      <c r="I30" s="134">
        <f>I31</f>
        <v>7807500</v>
      </c>
      <c r="J30" s="134">
        <f>J31</f>
        <v>7807500</v>
      </c>
      <c r="K30" s="134">
        <f>K31</f>
        <v>7807500</v>
      </c>
      <c r="L30" s="134">
        <f t="shared" si="6"/>
        <v>0</v>
      </c>
      <c r="M30" s="135">
        <f t="shared" si="2"/>
        <v>9.9697956728161979E-2</v>
      </c>
      <c r="N30" s="135">
        <f t="shared" si="7"/>
        <v>0</v>
      </c>
      <c r="O30" s="134">
        <f>O31</f>
        <v>9591942.2300000004</v>
      </c>
      <c r="P30" s="135">
        <f t="shared" si="3"/>
        <v>0.11729288651758207</v>
      </c>
      <c r="Q30" s="135">
        <f t="shared" si="8"/>
        <v>122.85548805635607</v>
      </c>
      <c r="R30" s="135">
        <f t="shared" si="9"/>
        <v>1784442.2300000004</v>
      </c>
      <c r="S30" s="135">
        <f t="shared" si="4"/>
        <v>2460378.83</v>
      </c>
      <c r="T30" s="134">
        <f>T31</f>
        <v>9591942.2300000004</v>
      </c>
      <c r="U30" s="152">
        <f t="shared" si="10"/>
        <v>0</v>
      </c>
    </row>
    <row r="31" spans="1:21" s="112" customFormat="1" ht="30" x14ac:dyDescent="0.2">
      <c r="A31" s="115" t="s">
        <v>205</v>
      </c>
      <c r="B31" s="134">
        <v>7796740</v>
      </c>
      <c r="C31" s="134">
        <v>7961746</v>
      </c>
      <c r="D31" s="135">
        <f t="shared" si="0"/>
        <v>8.6769966199359172E-2</v>
      </c>
      <c r="E31" s="135">
        <f t="shared" si="12"/>
        <v>165006</v>
      </c>
      <c r="F31" s="134">
        <v>7131563.4000000004</v>
      </c>
      <c r="G31" s="135">
        <f t="shared" si="1"/>
        <v>7.6999164135257259E-2</v>
      </c>
      <c r="H31" s="135">
        <f t="shared" si="5"/>
        <v>89.572857511405175</v>
      </c>
      <c r="I31" s="134">
        <v>7807500</v>
      </c>
      <c r="J31" s="134">
        <v>7807500</v>
      </c>
      <c r="K31" s="134">
        <v>7807500</v>
      </c>
      <c r="L31" s="134">
        <f t="shared" si="6"/>
        <v>0</v>
      </c>
      <c r="M31" s="135">
        <f t="shared" si="2"/>
        <v>9.9697956728161979E-2</v>
      </c>
      <c r="N31" s="135">
        <f t="shared" si="7"/>
        <v>0</v>
      </c>
      <c r="O31" s="134">
        <v>9591942.2300000004</v>
      </c>
      <c r="P31" s="135">
        <f t="shared" si="3"/>
        <v>0.11729288651758207</v>
      </c>
      <c r="Q31" s="135">
        <f t="shared" si="8"/>
        <v>122.85548805635607</v>
      </c>
      <c r="R31" s="135">
        <f t="shared" si="9"/>
        <v>1784442.2300000004</v>
      </c>
      <c r="S31" s="135">
        <f t="shared" si="4"/>
        <v>2460378.83</v>
      </c>
      <c r="T31" s="134">
        <v>9591942.2300000004</v>
      </c>
      <c r="U31" s="152">
        <f t="shared" si="10"/>
        <v>0</v>
      </c>
    </row>
    <row r="32" spans="1:21" s="112" customFormat="1" ht="45" x14ac:dyDescent="0.2">
      <c r="A32" s="115" t="s">
        <v>162</v>
      </c>
      <c r="B32" s="134">
        <f>B33+B34</f>
        <v>892900</v>
      </c>
      <c r="C32" s="134">
        <f>C33+C34</f>
        <v>11988247</v>
      </c>
      <c r="D32" s="135">
        <f t="shared" si="0"/>
        <v>0.13065221962363144</v>
      </c>
      <c r="E32" s="135">
        <f t="shared" si="12"/>
        <v>11095347</v>
      </c>
      <c r="F32" s="134">
        <f>F33+F34</f>
        <v>12287130.640000001</v>
      </c>
      <c r="G32" s="135">
        <f t="shared" si="1"/>
        <v>0.13266358802905806</v>
      </c>
      <c r="H32" s="135">
        <f>F32/C32*100</f>
        <v>102.49313882171431</v>
      </c>
      <c r="I32" s="134">
        <f>I33+I34</f>
        <v>3149800</v>
      </c>
      <c r="J32" s="134">
        <f>J33+J34</f>
        <v>50709286</v>
      </c>
      <c r="K32" s="134">
        <f>K33+K34</f>
        <v>50709286</v>
      </c>
      <c r="L32" s="134">
        <f t="shared" si="6"/>
        <v>0</v>
      </c>
      <c r="M32" s="135">
        <f t="shared" si="2"/>
        <v>0.64753278275299253</v>
      </c>
      <c r="N32" s="135">
        <f t="shared" si="7"/>
        <v>47559486</v>
      </c>
      <c r="O32" s="134">
        <f>O33+O34</f>
        <v>49593464.259999998</v>
      </c>
      <c r="P32" s="135">
        <f t="shared" si="3"/>
        <v>0.60644241134696053</v>
      </c>
      <c r="Q32" s="135">
        <f t="shared" si="8"/>
        <v>97.799571187020845</v>
      </c>
      <c r="R32" s="135">
        <f t="shared" si="9"/>
        <v>-1115821.7400000021</v>
      </c>
      <c r="S32" s="135">
        <f t="shared" si="4"/>
        <v>37306333.619999997</v>
      </c>
      <c r="T32" s="134">
        <f>T33+T34</f>
        <v>49593464.259999998</v>
      </c>
      <c r="U32" s="152">
        <f t="shared" si="10"/>
        <v>0</v>
      </c>
    </row>
    <row r="33" spans="1:21" s="112" customFormat="1" ht="30" x14ac:dyDescent="0.2">
      <c r="A33" s="115" t="s">
        <v>169</v>
      </c>
      <c r="B33" s="134">
        <v>436200</v>
      </c>
      <c r="C33" s="134">
        <v>302700</v>
      </c>
      <c r="D33" s="135">
        <f t="shared" si="0"/>
        <v>3.2989332702331904E-3</v>
      </c>
      <c r="E33" s="135">
        <f t="shared" si="12"/>
        <v>-133500</v>
      </c>
      <c r="F33" s="134">
        <v>173400</v>
      </c>
      <c r="G33" s="135">
        <f t="shared" si="1"/>
        <v>1.8721918760553414E-3</v>
      </c>
      <c r="H33" s="135">
        <f t="shared" si="5"/>
        <v>57.284440039643215</v>
      </c>
      <c r="I33" s="134">
        <v>415400</v>
      </c>
      <c r="J33" s="134">
        <v>1681200</v>
      </c>
      <c r="K33" s="134">
        <v>1681200</v>
      </c>
      <c r="L33" s="134">
        <f t="shared" si="6"/>
        <v>0</v>
      </c>
      <c r="M33" s="135">
        <f t="shared" si="2"/>
        <v>2.146810180613332E-2</v>
      </c>
      <c r="N33" s="135">
        <f t="shared" si="7"/>
        <v>1265800</v>
      </c>
      <c r="O33" s="134">
        <v>642210</v>
      </c>
      <c r="P33" s="135">
        <f t="shared" si="3"/>
        <v>7.8531190914456084E-3</v>
      </c>
      <c r="Q33" s="135">
        <f t="shared" si="8"/>
        <v>38.199500356887938</v>
      </c>
      <c r="R33" s="135">
        <f t="shared" si="9"/>
        <v>-1038990</v>
      </c>
      <c r="S33" s="135">
        <f t="shared" si="4"/>
        <v>468810</v>
      </c>
      <c r="T33" s="134">
        <f>151610+490600</f>
        <v>642210</v>
      </c>
      <c r="U33" s="152">
        <f t="shared" si="10"/>
        <v>0</v>
      </c>
    </row>
    <row r="34" spans="1:21" s="112" customFormat="1" ht="30" x14ac:dyDescent="0.25">
      <c r="A34" s="118" t="s">
        <v>170</v>
      </c>
      <c r="B34" s="134">
        <v>456700</v>
      </c>
      <c r="C34" s="134">
        <v>11685547</v>
      </c>
      <c r="D34" s="135">
        <f t="shared" si="0"/>
        <v>0.12735328635339824</v>
      </c>
      <c r="E34" s="135">
        <f t="shared" si="12"/>
        <v>11228847</v>
      </c>
      <c r="F34" s="134">
        <v>12113730.640000001</v>
      </c>
      <c r="G34" s="135">
        <f t="shared" si="1"/>
        <v>0.13079139615300273</v>
      </c>
      <c r="H34" s="135">
        <f t="shared" si="5"/>
        <v>103.66421563320914</v>
      </c>
      <c r="I34" s="134">
        <v>2734400</v>
      </c>
      <c r="J34" s="134">
        <v>49028086</v>
      </c>
      <c r="K34" s="134">
        <v>49028086</v>
      </c>
      <c r="L34" s="134">
        <f t="shared" si="6"/>
        <v>0</v>
      </c>
      <c r="M34" s="135">
        <f t="shared" si="2"/>
        <v>0.6260646809468593</v>
      </c>
      <c r="N34" s="135">
        <f t="shared" si="7"/>
        <v>46293686</v>
      </c>
      <c r="O34" s="134">
        <v>48951254.259999998</v>
      </c>
      <c r="P34" s="135">
        <f t="shared" si="3"/>
        <v>0.59858929225551483</v>
      </c>
      <c r="Q34" s="135">
        <f t="shared" si="8"/>
        <v>99.843290354022784</v>
      </c>
      <c r="R34" s="135">
        <f t="shared" si="9"/>
        <v>-76831.740000002086</v>
      </c>
      <c r="S34" s="135">
        <f t="shared" si="4"/>
        <v>36837523.619999997</v>
      </c>
      <c r="T34" s="134">
        <f>686.66+258974.28+39978.07+40627556.45+970651.97+156038.29+146407.63+3068898.8+3682062.11</f>
        <v>48951254.259999998</v>
      </c>
      <c r="U34" s="152">
        <f t="shared" si="10"/>
        <v>0</v>
      </c>
    </row>
    <row r="35" spans="1:21" ht="33.75" customHeight="1" x14ac:dyDescent="0.2">
      <c r="A35" s="131" t="s">
        <v>207</v>
      </c>
      <c r="B35" s="134">
        <f>B36+B37+B38</f>
        <v>15800000</v>
      </c>
      <c r="C35" s="134">
        <f>C36+C37+C38</f>
        <v>50895826</v>
      </c>
      <c r="D35" s="135">
        <f t="shared" si="0"/>
        <v>0.55468098350644024</v>
      </c>
      <c r="E35" s="135">
        <f t="shared" si="12"/>
        <v>35095826</v>
      </c>
      <c r="F35" s="134">
        <f>F36+F37+F38</f>
        <v>51733505.549999997</v>
      </c>
      <c r="G35" s="135">
        <f t="shared" si="1"/>
        <v>0.55856429533202956</v>
      </c>
      <c r="H35" s="135">
        <f t="shared" si="5"/>
        <v>101.64587082249142</v>
      </c>
      <c r="I35" s="134">
        <f>I36+I37+I38</f>
        <v>22244300</v>
      </c>
      <c r="J35" s="134">
        <f>J36+J37+J38</f>
        <v>37072140</v>
      </c>
      <c r="K35" s="134">
        <f>K36+K37+K38</f>
        <v>37072140</v>
      </c>
      <c r="L35" s="134">
        <f t="shared" si="6"/>
        <v>0</v>
      </c>
      <c r="M35" s="135">
        <f t="shared" si="2"/>
        <v>0.47339309760363274</v>
      </c>
      <c r="N35" s="135">
        <f t="shared" si="7"/>
        <v>14827840</v>
      </c>
      <c r="O35" s="134">
        <f>O36+O37+O38</f>
        <v>45797340.170000002</v>
      </c>
      <c r="P35" s="135">
        <f t="shared" si="3"/>
        <v>0.56002237029391622</v>
      </c>
      <c r="Q35" s="135">
        <f t="shared" si="8"/>
        <v>123.53573376125577</v>
      </c>
      <c r="R35" s="135">
        <f t="shared" si="9"/>
        <v>8725200.1700000018</v>
      </c>
      <c r="S35" s="141">
        <f t="shared" si="4"/>
        <v>-5936165.3799999952</v>
      </c>
      <c r="T35" s="134">
        <f>T36+T37+T38</f>
        <v>45797340.170000002</v>
      </c>
      <c r="U35" s="152">
        <f t="shared" si="10"/>
        <v>0</v>
      </c>
    </row>
    <row r="36" spans="1:21" s="112" customFormat="1" x14ac:dyDescent="0.25">
      <c r="A36" s="118" t="s">
        <v>175</v>
      </c>
      <c r="B36" s="134">
        <v>3800000</v>
      </c>
      <c r="C36" s="134">
        <v>25475826</v>
      </c>
      <c r="D36" s="135">
        <f t="shared" si="0"/>
        <v>0.27764469764807315</v>
      </c>
      <c r="E36" s="135">
        <f t="shared" si="12"/>
        <v>21675826</v>
      </c>
      <c r="F36" s="134">
        <v>26024973.359999999</v>
      </c>
      <c r="G36" s="135">
        <f t="shared" si="1"/>
        <v>0.28099044809197626</v>
      </c>
      <c r="H36" s="135">
        <f t="shared" si="5"/>
        <v>102.15556253210396</v>
      </c>
      <c r="I36" s="134">
        <v>12858900</v>
      </c>
      <c r="J36" s="134">
        <v>15358900</v>
      </c>
      <c r="K36" s="134">
        <v>15358900</v>
      </c>
      <c r="L36" s="134">
        <f t="shared" si="6"/>
        <v>0</v>
      </c>
      <c r="M36" s="135">
        <f t="shared" si="2"/>
        <v>0.19612564170248692</v>
      </c>
      <c r="N36" s="135">
        <f t="shared" si="7"/>
        <v>2500000</v>
      </c>
      <c r="O36" s="134">
        <v>16001760.48</v>
      </c>
      <c r="P36" s="135">
        <f t="shared" si="3"/>
        <v>0.19567389284226008</v>
      </c>
      <c r="Q36" s="135">
        <f t="shared" si="8"/>
        <v>104.18558933256938</v>
      </c>
      <c r="R36" s="135">
        <f t="shared" si="9"/>
        <v>642860.48000000045</v>
      </c>
      <c r="S36" s="135">
        <f t="shared" si="4"/>
        <v>-10023212.879999999</v>
      </c>
      <c r="T36" s="134">
        <v>16001760.48</v>
      </c>
      <c r="U36" s="152">
        <f t="shared" si="10"/>
        <v>0</v>
      </c>
    </row>
    <row r="37" spans="1:21" s="112" customFormat="1" ht="150" x14ac:dyDescent="0.2">
      <c r="A37" s="119" t="s">
        <v>208</v>
      </c>
      <c r="B37" s="134">
        <v>2000000</v>
      </c>
      <c r="C37" s="134">
        <v>15420000</v>
      </c>
      <c r="D37" s="135">
        <f t="shared" si="0"/>
        <v>0.16805269582753815</v>
      </c>
      <c r="E37" s="135">
        <f t="shared" si="12"/>
        <v>13420000</v>
      </c>
      <c r="F37" s="134">
        <v>15704463.779999999</v>
      </c>
      <c r="G37" s="135">
        <f t="shared" si="1"/>
        <v>0.16956037777809319</v>
      </c>
      <c r="H37" s="135">
        <f t="shared" si="5"/>
        <v>101.84477159533074</v>
      </c>
      <c r="I37" s="134">
        <v>1885400</v>
      </c>
      <c r="J37" s="134">
        <v>3681120</v>
      </c>
      <c r="K37" s="134">
        <v>3681120</v>
      </c>
      <c r="L37" s="134">
        <f t="shared" si="6"/>
        <v>0</v>
      </c>
      <c r="M37" s="135">
        <f t="shared" si="2"/>
        <v>4.700610214168064E-2</v>
      </c>
      <c r="N37" s="135">
        <f t="shared" si="7"/>
        <v>1795720</v>
      </c>
      <c r="O37" s="134">
        <v>3917944.27</v>
      </c>
      <c r="P37" s="135">
        <f t="shared" si="3"/>
        <v>4.7909691449770218E-2</v>
      </c>
      <c r="Q37" s="135">
        <f t="shared" si="8"/>
        <v>106.43348410266439</v>
      </c>
      <c r="R37" s="135">
        <f t="shared" si="9"/>
        <v>236824.27000000002</v>
      </c>
      <c r="S37" s="135">
        <f t="shared" si="4"/>
        <v>-11786519.51</v>
      </c>
      <c r="T37" s="134">
        <f>3904224.27+13720</f>
        <v>3917944.27</v>
      </c>
      <c r="U37" s="152">
        <f t="shared" si="10"/>
        <v>0</v>
      </c>
    </row>
    <row r="38" spans="1:21" s="112" customFormat="1" ht="63" customHeight="1" x14ac:dyDescent="0.2">
      <c r="A38" s="117" t="s">
        <v>209</v>
      </c>
      <c r="B38" s="134">
        <v>10000000</v>
      </c>
      <c r="C38" s="134">
        <v>10000000</v>
      </c>
      <c r="D38" s="135">
        <f t="shared" si="0"/>
        <v>0.10898359003082889</v>
      </c>
      <c r="E38" s="135">
        <f t="shared" si="12"/>
        <v>0</v>
      </c>
      <c r="F38" s="134">
        <v>10004068.41</v>
      </c>
      <c r="G38" s="135">
        <f t="shared" si="1"/>
        <v>0.10801346946196007</v>
      </c>
      <c r="H38" s="135">
        <f t="shared" si="5"/>
        <v>100.04068409999999</v>
      </c>
      <c r="I38" s="134">
        <v>7500000</v>
      </c>
      <c r="J38" s="134">
        <v>18032120</v>
      </c>
      <c r="K38" s="134">
        <v>18032120</v>
      </c>
      <c r="L38" s="134">
        <f t="shared" si="6"/>
        <v>0</v>
      </c>
      <c r="M38" s="135">
        <f t="shared" si="2"/>
        <v>0.23026135375946513</v>
      </c>
      <c r="N38" s="135">
        <f t="shared" si="7"/>
        <v>10532120</v>
      </c>
      <c r="O38" s="134">
        <v>25877635.420000002</v>
      </c>
      <c r="P38" s="135">
        <f t="shared" si="3"/>
        <v>0.31643878600188591</v>
      </c>
      <c r="Q38" s="135">
        <f t="shared" si="8"/>
        <v>143.50855817286043</v>
      </c>
      <c r="R38" s="135">
        <f t="shared" si="9"/>
        <v>7845515.4200000018</v>
      </c>
      <c r="S38" s="135">
        <f t="shared" si="4"/>
        <v>15873567.010000002</v>
      </c>
      <c r="T38" s="134">
        <v>25877635.420000002</v>
      </c>
      <c r="U38" s="152">
        <f t="shared" si="10"/>
        <v>0</v>
      </c>
    </row>
    <row r="39" spans="1:21" s="106" customFormat="1" ht="28.5" x14ac:dyDescent="0.2">
      <c r="A39" s="120" t="s">
        <v>30</v>
      </c>
      <c r="B39" s="128">
        <f>SUM(B40:B57)</f>
        <v>27960100</v>
      </c>
      <c r="C39" s="146">
        <f>SUM(C40:C57)</f>
        <v>38832963</v>
      </c>
      <c r="D39" s="133">
        <f t="shared" si="0"/>
        <v>0.4232155719274347</v>
      </c>
      <c r="E39" s="133">
        <f t="shared" si="12"/>
        <v>10872863</v>
      </c>
      <c r="F39" s="128">
        <f>SUM(F40:F57)</f>
        <v>40503081.399999999</v>
      </c>
      <c r="G39" s="133">
        <f t="shared" si="1"/>
        <v>0.43730991898666788</v>
      </c>
      <c r="H39" s="133">
        <f t="shared" si="5"/>
        <v>104.30077509151181</v>
      </c>
      <c r="I39" s="128">
        <f>SUM(I40:I57)</f>
        <v>25937700</v>
      </c>
      <c r="J39" s="128">
        <f>SUM(J40:J57)</f>
        <v>46407256</v>
      </c>
      <c r="K39" s="128">
        <f>SUM(K40:K57)</f>
        <v>46407256</v>
      </c>
      <c r="L39" s="128">
        <f t="shared" si="6"/>
        <v>0</v>
      </c>
      <c r="M39" s="133">
        <f t="shared" si="2"/>
        <v>0.59259796356845784</v>
      </c>
      <c r="N39" s="133">
        <f t="shared" si="7"/>
        <v>20469556</v>
      </c>
      <c r="O39" s="129">
        <f>SUM(O40:O57)</f>
        <v>50356983.260000005</v>
      </c>
      <c r="P39" s="133">
        <f t="shared" si="3"/>
        <v>0.61577892998662898</v>
      </c>
      <c r="Q39" s="133">
        <f t="shared" si="8"/>
        <v>108.51101228652693</v>
      </c>
      <c r="R39" s="133">
        <f t="shared" si="9"/>
        <v>3949727.2600000054</v>
      </c>
      <c r="S39" s="133">
        <f t="shared" si="4"/>
        <v>9853901.8600000069</v>
      </c>
      <c r="T39" s="142">
        <f>SUM(T40:T57)</f>
        <v>50356983.260000005</v>
      </c>
      <c r="U39" s="143">
        <f t="shared" si="10"/>
        <v>0</v>
      </c>
    </row>
    <row r="40" spans="1:21" s="112" customFormat="1" ht="150" customHeight="1" x14ac:dyDescent="0.2">
      <c r="A40" s="116" t="s">
        <v>184</v>
      </c>
      <c r="B40" s="134">
        <v>560000</v>
      </c>
      <c r="C40" s="134">
        <v>920000</v>
      </c>
      <c r="D40" s="135">
        <f t="shared" si="0"/>
        <v>1.0026490282836257E-2</v>
      </c>
      <c r="E40" s="135">
        <f t="shared" si="12"/>
        <v>360000</v>
      </c>
      <c r="F40" s="134">
        <v>1062149.83</v>
      </c>
      <c r="G40" s="135">
        <f t="shared" si="1"/>
        <v>1.1467983176929425E-2</v>
      </c>
      <c r="H40" s="135">
        <f t="shared" si="5"/>
        <v>115.45106847826088</v>
      </c>
      <c r="I40" s="134">
        <v>900000</v>
      </c>
      <c r="J40" s="134">
        <v>802000</v>
      </c>
      <c r="K40" s="134">
        <v>802000</v>
      </c>
      <c r="L40" s="134">
        <f t="shared" si="6"/>
        <v>0</v>
      </c>
      <c r="M40" s="135">
        <f t="shared" si="2"/>
        <v>1.0241147780465693E-2</v>
      </c>
      <c r="N40" s="135">
        <f t="shared" si="7"/>
        <v>-98000</v>
      </c>
      <c r="O40" s="134">
        <v>890609.67</v>
      </c>
      <c r="P40" s="135">
        <f t="shared" si="3"/>
        <v>1.0890618026039885E-2</v>
      </c>
      <c r="Q40" s="135">
        <f t="shared" si="8"/>
        <v>111.04858728179552</v>
      </c>
      <c r="R40" s="135">
        <f t="shared" si="9"/>
        <v>88609.670000000042</v>
      </c>
      <c r="S40" s="135">
        <f t="shared" si="4"/>
        <v>-171540.16000000003</v>
      </c>
      <c r="T40" s="134">
        <v>890609.67</v>
      </c>
      <c r="U40" s="152">
        <f t="shared" si="10"/>
        <v>0</v>
      </c>
    </row>
    <row r="41" spans="1:21" s="112" customFormat="1" ht="104.25" customHeight="1" x14ac:dyDescent="0.2">
      <c r="A41" s="116" t="s">
        <v>185</v>
      </c>
      <c r="B41" s="134">
        <v>80000</v>
      </c>
      <c r="C41" s="134">
        <v>80000</v>
      </c>
      <c r="D41" s="135">
        <f t="shared" si="0"/>
        <v>8.7186872024663103E-4</v>
      </c>
      <c r="E41" s="135">
        <f t="shared" si="12"/>
        <v>0</v>
      </c>
      <c r="F41" s="134">
        <v>70664.83</v>
      </c>
      <c r="G41" s="135">
        <f t="shared" si="1"/>
        <v>7.6296494030468154E-4</v>
      </c>
      <c r="H41" s="135">
        <f t="shared" si="5"/>
        <v>88.331037499999994</v>
      </c>
      <c r="I41" s="134">
        <v>80000</v>
      </c>
      <c r="J41" s="134">
        <v>123000</v>
      </c>
      <c r="K41" s="134">
        <v>123000</v>
      </c>
      <c r="L41" s="134">
        <f t="shared" si="6"/>
        <v>0</v>
      </c>
      <c r="M41" s="135">
        <f t="shared" si="2"/>
        <v>1.5706498466300251E-3</v>
      </c>
      <c r="N41" s="135">
        <f t="shared" si="7"/>
        <v>43000</v>
      </c>
      <c r="O41" s="134">
        <v>144794.76999999999</v>
      </c>
      <c r="P41" s="135">
        <f t="shared" ref="P41:P71" si="13">O41/O$71*100</f>
        <v>1.7705899513063886E-3</v>
      </c>
      <c r="Q41" s="135">
        <f t="shared" si="8"/>
        <v>117.71932520325204</v>
      </c>
      <c r="R41" s="135">
        <f t="shared" si="9"/>
        <v>21794.76999999999</v>
      </c>
      <c r="S41" s="135">
        <f t="shared" ref="S41:S71" si="14">O41-F41</f>
        <v>74129.939999999988</v>
      </c>
      <c r="T41" s="134">
        <v>144794.76999999999</v>
      </c>
      <c r="U41" s="152">
        <f t="shared" si="10"/>
        <v>0</v>
      </c>
    </row>
    <row r="42" spans="1:21" s="112" customFormat="1" ht="92.25" customHeight="1" x14ac:dyDescent="0.2">
      <c r="A42" s="116" t="s">
        <v>210</v>
      </c>
      <c r="B42" s="134"/>
      <c r="C42" s="134"/>
      <c r="D42" s="135"/>
      <c r="E42" s="135"/>
      <c r="F42" s="134"/>
      <c r="G42" s="135"/>
      <c r="H42" s="135"/>
      <c r="I42" s="134"/>
      <c r="J42" s="134"/>
      <c r="K42" s="134"/>
      <c r="L42" s="134"/>
      <c r="M42" s="135"/>
      <c r="N42" s="135"/>
      <c r="O42" s="134">
        <v>150</v>
      </c>
      <c r="P42" s="135">
        <f t="shared" si="13"/>
        <v>1.8342409238673351E-6</v>
      </c>
      <c r="Q42" s="135"/>
      <c r="R42" s="135">
        <f t="shared" ref="R42" si="15">O42-K42</f>
        <v>150</v>
      </c>
      <c r="S42" s="135">
        <f t="shared" ref="S42" si="16">O42-F42</f>
        <v>150</v>
      </c>
      <c r="T42" s="134">
        <v>150</v>
      </c>
      <c r="U42" s="152">
        <f t="shared" si="10"/>
        <v>0</v>
      </c>
    </row>
    <row r="43" spans="1:21" s="112" customFormat="1" ht="121.5" customHeight="1" x14ac:dyDescent="0.2">
      <c r="A43" s="116" t="s">
        <v>186</v>
      </c>
      <c r="B43" s="134"/>
      <c r="C43" s="134">
        <v>101000</v>
      </c>
      <c r="D43" s="135">
        <f>C43/C$71*100</f>
        <v>1.1007342593113718E-3</v>
      </c>
      <c r="E43" s="135">
        <f t="shared" si="12"/>
        <v>101000</v>
      </c>
      <c r="F43" s="134">
        <v>98544.38</v>
      </c>
      <c r="G43" s="135">
        <f>F43/F$71*100</f>
        <v>1.0639791676292417E-3</v>
      </c>
      <c r="H43" s="135">
        <f t="shared" si="5"/>
        <v>97.568693069306931</v>
      </c>
      <c r="I43" s="134">
        <v>40000</v>
      </c>
      <c r="J43" s="134">
        <v>175000</v>
      </c>
      <c r="K43" s="134">
        <v>175000</v>
      </c>
      <c r="L43" s="134">
        <f t="shared" si="6"/>
        <v>0</v>
      </c>
      <c r="M43" s="135">
        <f>K43/K$71*100</f>
        <v>2.2346644159370278E-3</v>
      </c>
      <c r="N43" s="135">
        <f t="shared" si="7"/>
        <v>135000</v>
      </c>
      <c r="O43" s="134">
        <v>142226.57999999999</v>
      </c>
      <c r="P43" s="135">
        <f t="shared" si="13"/>
        <v>1.7391854233179428E-3</v>
      </c>
      <c r="Q43" s="135">
        <f t="shared" si="8"/>
        <v>81.27233142857142</v>
      </c>
      <c r="R43" s="135">
        <f t="shared" si="9"/>
        <v>-32773.420000000013</v>
      </c>
      <c r="S43" s="135">
        <f t="shared" si="14"/>
        <v>43682.199999999983</v>
      </c>
      <c r="T43" s="134">
        <v>142226.57999999999</v>
      </c>
      <c r="U43" s="152">
        <f t="shared" si="10"/>
        <v>0</v>
      </c>
    </row>
    <row r="44" spans="1:21" s="112" customFormat="1" ht="106.5" customHeight="1" x14ac:dyDescent="0.2">
      <c r="A44" s="116" t="s">
        <v>187</v>
      </c>
      <c r="B44" s="134">
        <v>1750000</v>
      </c>
      <c r="C44" s="134">
        <v>2100000</v>
      </c>
      <c r="D44" s="135">
        <f>C44/C$71*100</f>
        <v>2.2886553906474066E-2</v>
      </c>
      <c r="E44" s="135">
        <f t="shared" si="12"/>
        <v>350000</v>
      </c>
      <c r="F44" s="134">
        <v>1542865.15</v>
      </c>
      <c r="G44" s="135">
        <f>F44/F$71*100</f>
        <v>1.6658244519486193E-2</v>
      </c>
      <c r="H44" s="135">
        <f t="shared" si="5"/>
        <v>73.469769047619039</v>
      </c>
      <c r="I44" s="134">
        <v>1050000</v>
      </c>
      <c r="J44" s="134">
        <v>1500000</v>
      </c>
      <c r="K44" s="134">
        <v>1500000</v>
      </c>
      <c r="L44" s="134">
        <f t="shared" si="6"/>
        <v>0</v>
      </c>
      <c r="M44" s="135">
        <f>K44/K$71*100</f>
        <v>1.9154266422317382E-2</v>
      </c>
      <c r="N44" s="135">
        <f t="shared" si="7"/>
        <v>450000</v>
      </c>
      <c r="O44" s="134">
        <v>951926.94</v>
      </c>
      <c r="P44" s="135">
        <f t="shared" si="13"/>
        <v>1.1640422332532036E-2</v>
      </c>
      <c r="Q44" s="135">
        <f t="shared" si="8"/>
        <v>63.461795999999993</v>
      </c>
      <c r="R44" s="135">
        <f t="shared" si="9"/>
        <v>-548073.06000000006</v>
      </c>
      <c r="S44" s="135">
        <f t="shared" si="14"/>
        <v>-590938.21</v>
      </c>
      <c r="T44" s="134">
        <f>261826.92+590100.02+100000</f>
        <v>951926.94000000006</v>
      </c>
      <c r="U44" s="152">
        <f t="shared" si="10"/>
        <v>0</v>
      </c>
    </row>
    <row r="45" spans="1:21" s="112" customFormat="1" ht="92.25" customHeight="1" x14ac:dyDescent="0.2">
      <c r="A45" s="116" t="s">
        <v>211</v>
      </c>
      <c r="B45" s="134">
        <v>10000</v>
      </c>
      <c r="C45" s="134">
        <v>10000</v>
      </c>
      <c r="D45" s="135">
        <f>C45/C$71*100</f>
        <v>1.0898359003082888E-4</v>
      </c>
      <c r="E45" s="135">
        <f t="shared" si="12"/>
        <v>0</v>
      </c>
      <c r="F45" s="134"/>
      <c r="G45" s="135">
        <f>F45/F$71*100</f>
        <v>0</v>
      </c>
      <c r="H45" s="135">
        <f t="shared" si="5"/>
        <v>0</v>
      </c>
      <c r="I45" s="134"/>
      <c r="J45" s="134">
        <v>3000</v>
      </c>
      <c r="K45" s="134">
        <v>3000</v>
      </c>
      <c r="L45" s="134">
        <f t="shared" si="6"/>
        <v>0</v>
      </c>
      <c r="M45" s="135">
        <f>K45/K$71*100</f>
        <v>3.8308532844634762E-5</v>
      </c>
      <c r="N45" s="135">
        <f t="shared" si="7"/>
        <v>3000</v>
      </c>
      <c r="O45" s="134">
        <v>3000</v>
      </c>
      <c r="P45" s="135">
        <f t="shared" si="13"/>
        <v>3.6684818477346706E-5</v>
      </c>
      <c r="Q45" s="135">
        <f t="shared" si="8"/>
        <v>100</v>
      </c>
      <c r="R45" s="135">
        <f t="shared" si="9"/>
        <v>0</v>
      </c>
      <c r="S45" s="135">
        <f t="shared" si="14"/>
        <v>3000</v>
      </c>
      <c r="T45" s="134">
        <v>3000</v>
      </c>
      <c r="U45" s="152">
        <f t="shared" si="10"/>
        <v>0</v>
      </c>
    </row>
    <row r="46" spans="1:21" s="112" customFormat="1" ht="60" x14ac:dyDescent="0.2">
      <c r="A46" s="116" t="s">
        <v>188</v>
      </c>
      <c r="B46" s="134"/>
      <c r="C46" s="134">
        <v>180000</v>
      </c>
      <c r="D46" s="135">
        <f>C46/C$71*100</f>
        <v>1.9617046205549198E-3</v>
      </c>
      <c r="E46" s="135">
        <f t="shared" si="12"/>
        <v>180000</v>
      </c>
      <c r="F46" s="134">
        <v>180155.57</v>
      </c>
      <c r="G46" s="135">
        <f>F46/F$71*100</f>
        <v>1.9451314566327532E-3</v>
      </c>
      <c r="H46" s="135">
        <f t="shared" si="5"/>
        <v>100.08642777777779</v>
      </c>
      <c r="I46" s="134"/>
      <c r="J46" s="134"/>
      <c r="K46" s="134"/>
      <c r="L46" s="134">
        <f t="shared" si="6"/>
        <v>0</v>
      </c>
      <c r="M46" s="135">
        <f>K46/K$71*100</f>
        <v>0</v>
      </c>
      <c r="N46" s="135">
        <f t="shared" si="7"/>
        <v>0</v>
      </c>
      <c r="O46" s="134">
        <v>0</v>
      </c>
      <c r="P46" s="135">
        <f t="shared" si="13"/>
        <v>0</v>
      </c>
      <c r="Q46" s="135"/>
      <c r="R46" s="135">
        <f t="shared" si="9"/>
        <v>0</v>
      </c>
      <c r="S46" s="135">
        <f t="shared" si="14"/>
        <v>-180155.57</v>
      </c>
      <c r="T46" s="134">
        <v>0</v>
      </c>
      <c r="U46" s="152">
        <f t="shared" si="10"/>
        <v>0</v>
      </c>
    </row>
    <row r="47" spans="1:21" s="112" customFormat="1" ht="63.75" customHeight="1" x14ac:dyDescent="0.2">
      <c r="A47" s="116" t="s">
        <v>189</v>
      </c>
      <c r="B47" s="134">
        <v>202000</v>
      </c>
      <c r="C47" s="134">
        <v>20100</v>
      </c>
      <c r="D47" s="135">
        <f>C47/C$71*100</f>
        <v>2.1905701596196606E-4</v>
      </c>
      <c r="E47" s="135">
        <f t="shared" si="12"/>
        <v>-181900</v>
      </c>
      <c r="F47" s="134">
        <v>21586</v>
      </c>
      <c r="G47" s="135">
        <f>F47/F$71*100</f>
        <v>2.3306305557399423E-4</v>
      </c>
      <c r="H47" s="135">
        <f t="shared" si="5"/>
        <v>107.39303482587064</v>
      </c>
      <c r="I47" s="134">
        <v>73000</v>
      </c>
      <c r="J47" s="134">
        <v>28000</v>
      </c>
      <c r="K47" s="134">
        <v>28000</v>
      </c>
      <c r="L47" s="134">
        <f t="shared" si="6"/>
        <v>0</v>
      </c>
      <c r="M47" s="135">
        <f>K47/K$71*100</f>
        <v>3.5754630654992442E-4</v>
      </c>
      <c r="N47" s="135">
        <f t="shared" si="7"/>
        <v>-45000</v>
      </c>
      <c r="O47" s="134">
        <v>34242.58</v>
      </c>
      <c r="P47" s="135">
        <f t="shared" si="13"/>
        <v>4.1872761049867427E-4</v>
      </c>
      <c r="Q47" s="135">
        <f t="shared" si="8"/>
        <v>122.29492857142858</v>
      </c>
      <c r="R47" s="135">
        <f t="shared" si="9"/>
        <v>6242.5800000000017</v>
      </c>
      <c r="S47" s="135">
        <f t="shared" si="14"/>
        <v>12656.580000000002</v>
      </c>
      <c r="T47" s="134">
        <f>8000+26242.58</f>
        <v>34242.58</v>
      </c>
      <c r="U47" s="152">
        <f t="shared" si="10"/>
        <v>0</v>
      </c>
    </row>
    <row r="48" spans="1:21" s="112" customFormat="1" ht="51" customHeight="1" x14ac:dyDescent="0.2">
      <c r="A48" s="116" t="s">
        <v>212</v>
      </c>
      <c r="B48" s="134"/>
      <c r="C48" s="134"/>
      <c r="D48" s="135"/>
      <c r="E48" s="135"/>
      <c r="F48" s="134"/>
      <c r="G48" s="135"/>
      <c r="H48" s="135"/>
      <c r="I48" s="134"/>
      <c r="J48" s="134"/>
      <c r="K48" s="134"/>
      <c r="L48" s="134"/>
      <c r="M48" s="135"/>
      <c r="N48" s="135"/>
      <c r="O48" s="134">
        <v>150000</v>
      </c>
      <c r="P48" s="135">
        <f t="shared" si="13"/>
        <v>1.8342409238673353E-3</v>
      </c>
      <c r="Q48" s="135"/>
      <c r="R48" s="135">
        <f t="shared" ref="R48" si="17">O48-K48</f>
        <v>150000</v>
      </c>
      <c r="S48" s="135">
        <f t="shared" ref="S48" si="18">O48-F48</f>
        <v>150000</v>
      </c>
      <c r="T48" s="134">
        <v>150000</v>
      </c>
      <c r="U48" s="152">
        <f t="shared" si="10"/>
        <v>0</v>
      </c>
    </row>
    <row r="49" spans="1:21" s="112" customFormat="1" ht="60" x14ac:dyDescent="0.2">
      <c r="A49" s="116" t="s">
        <v>190</v>
      </c>
      <c r="B49" s="134">
        <v>1525000</v>
      </c>
      <c r="C49" s="134">
        <v>9395000</v>
      </c>
      <c r="D49" s="135">
        <f t="shared" ref="D49:D66" si="19">C49/C$71*100</f>
        <v>0.10239008283396374</v>
      </c>
      <c r="E49" s="135">
        <f t="shared" si="12"/>
        <v>7870000</v>
      </c>
      <c r="F49" s="134">
        <v>9954254.3300000001</v>
      </c>
      <c r="G49" s="135">
        <f t="shared" ref="G49:G66" si="20">F49/F$71*100</f>
        <v>0.10747562911657847</v>
      </c>
      <c r="H49" s="135">
        <f t="shared" si="5"/>
        <v>105.95268046833422</v>
      </c>
      <c r="I49" s="134">
        <v>1735500</v>
      </c>
      <c r="J49" s="134">
        <v>2112000</v>
      </c>
      <c r="K49" s="134">
        <v>2112000</v>
      </c>
      <c r="L49" s="134">
        <f t="shared" si="6"/>
        <v>0</v>
      </c>
      <c r="M49" s="135">
        <f t="shared" ref="M49:M71" si="21">K49/K$71*100</f>
        <v>2.6969207122622872E-2</v>
      </c>
      <c r="N49" s="135">
        <f t="shared" si="7"/>
        <v>376500</v>
      </c>
      <c r="O49" s="134">
        <v>2919500</v>
      </c>
      <c r="P49" s="135">
        <f t="shared" si="13"/>
        <v>3.5700442514871235E-2</v>
      </c>
      <c r="Q49" s="135">
        <f t="shared" si="8"/>
        <v>138.2339015151515</v>
      </c>
      <c r="R49" s="135">
        <f t="shared" si="9"/>
        <v>807500</v>
      </c>
      <c r="S49" s="135">
        <f t="shared" si="14"/>
        <v>-7034754.3300000001</v>
      </c>
      <c r="T49" s="134">
        <f>650000+110000+2159500</f>
        <v>2919500</v>
      </c>
      <c r="U49" s="152">
        <f t="shared" si="10"/>
        <v>0</v>
      </c>
    </row>
    <row r="50" spans="1:21" s="112" customFormat="1" ht="45" x14ac:dyDescent="0.2">
      <c r="A50" s="116" t="s">
        <v>191</v>
      </c>
      <c r="B50" s="134">
        <v>100000</v>
      </c>
      <c r="C50" s="134">
        <v>100000</v>
      </c>
      <c r="D50" s="135">
        <f t="shared" si="19"/>
        <v>1.0898359003082888E-3</v>
      </c>
      <c r="E50" s="135">
        <f t="shared" si="12"/>
        <v>0</v>
      </c>
      <c r="F50" s="134">
        <v>152444.71</v>
      </c>
      <c r="G50" s="135">
        <f t="shared" si="20"/>
        <v>1.6459385675294837E-3</v>
      </c>
      <c r="H50" s="135">
        <f t="shared" si="5"/>
        <v>152.44470999999999</v>
      </c>
      <c r="I50" s="134">
        <v>50000</v>
      </c>
      <c r="J50" s="134">
        <v>570000</v>
      </c>
      <c r="K50" s="134">
        <v>570000</v>
      </c>
      <c r="L50" s="134">
        <f t="shared" si="6"/>
        <v>0</v>
      </c>
      <c r="M50" s="135">
        <f t="shared" si="21"/>
        <v>7.2786212404806041E-3</v>
      </c>
      <c r="N50" s="135">
        <f t="shared" si="7"/>
        <v>520000</v>
      </c>
      <c r="O50" s="134">
        <v>610912.57999999996</v>
      </c>
      <c r="P50" s="135">
        <f t="shared" si="13"/>
        <v>7.4704057009425152E-3</v>
      </c>
      <c r="Q50" s="135">
        <f t="shared" si="8"/>
        <v>107.17764561403509</v>
      </c>
      <c r="R50" s="135">
        <f t="shared" si="9"/>
        <v>40912.579999999958</v>
      </c>
      <c r="S50" s="135">
        <f t="shared" si="14"/>
        <v>458467.87</v>
      </c>
      <c r="T50" s="134">
        <v>610912.57999999996</v>
      </c>
      <c r="U50" s="152">
        <f t="shared" si="10"/>
        <v>0</v>
      </c>
    </row>
    <row r="51" spans="1:21" s="112" customFormat="1" ht="103.5" customHeight="1" x14ac:dyDescent="0.2">
      <c r="A51" s="116" t="s">
        <v>192</v>
      </c>
      <c r="B51" s="134">
        <v>1520000</v>
      </c>
      <c r="C51" s="134">
        <v>1090000</v>
      </c>
      <c r="D51" s="135">
        <f t="shared" si="19"/>
        <v>1.1879211313360349E-2</v>
      </c>
      <c r="E51" s="135">
        <f t="shared" si="12"/>
        <v>-430000</v>
      </c>
      <c r="F51" s="134">
        <v>807630</v>
      </c>
      <c r="G51" s="135">
        <f t="shared" si="20"/>
        <v>8.7199442033366516E-3</v>
      </c>
      <c r="H51" s="135">
        <f t="shared" si="5"/>
        <v>74.09449541284404</v>
      </c>
      <c r="I51" s="134">
        <v>1230000</v>
      </c>
      <c r="J51" s="134">
        <v>1190000</v>
      </c>
      <c r="K51" s="134">
        <v>1190000</v>
      </c>
      <c r="L51" s="134">
        <f t="shared" si="6"/>
        <v>0</v>
      </c>
      <c r="M51" s="135">
        <f t="shared" si="21"/>
        <v>1.519571802837179E-2</v>
      </c>
      <c r="N51" s="135">
        <f t="shared" si="7"/>
        <v>-40000</v>
      </c>
      <c r="O51" s="134">
        <v>1227350</v>
      </c>
      <c r="P51" s="135">
        <f t="shared" si="13"/>
        <v>1.5008370652723826E-2</v>
      </c>
      <c r="Q51" s="135">
        <f t="shared" si="8"/>
        <v>103.13865546218489</v>
      </c>
      <c r="R51" s="135">
        <f t="shared" si="9"/>
        <v>37350</v>
      </c>
      <c r="S51" s="135">
        <f t="shared" si="14"/>
        <v>419720</v>
      </c>
      <c r="T51" s="134">
        <f>1141200+86150</f>
        <v>1227350</v>
      </c>
      <c r="U51" s="152">
        <f t="shared" si="10"/>
        <v>0</v>
      </c>
    </row>
    <row r="52" spans="1:21" s="112" customFormat="1" ht="105" customHeight="1" x14ac:dyDescent="0.25">
      <c r="A52" s="121" t="s">
        <v>193</v>
      </c>
      <c r="B52" s="134">
        <v>2500000</v>
      </c>
      <c r="C52" s="134">
        <v>35000</v>
      </c>
      <c r="D52" s="135">
        <f t="shared" si="19"/>
        <v>3.8144256510790113E-4</v>
      </c>
      <c r="E52" s="135">
        <f t="shared" si="12"/>
        <v>-2465000</v>
      </c>
      <c r="F52" s="134">
        <v>35000</v>
      </c>
      <c r="G52" s="135">
        <f t="shared" si="20"/>
        <v>3.7789340058787171E-4</v>
      </c>
      <c r="H52" s="135">
        <f t="shared" si="5"/>
        <v>100</v>
      </c>
      <c r="I52" s="134">
        <v>500000</v>
      </c>
      <c r="J52" s="134">
        <v>100000</v>
      </c>
      <c r="K52" s="134">
        <v>100000</v>
      </c>
      <c r="L52" s="134">
        <f t="shared" si="6"/>
        <v>0</v>
      </c>
      <c r="M52" s="135">
        <f t="shared" si="21"/>
        <v>1.2769510948211589E-3</v>
      </c>
      <c r="N52" s="135">
        <f t="shared" si="7"/>
        <v>-400000</v>
      </c>
      <c r="O52" s="134">
        <v>40</v>
      </c>
      <c r="P52" s="135">
        <f t="shared" si="13"/>
        <v>4.8913091303128941E-7</v>
      </c>
      <c r="Q52" s="135">
        <f t="shared" si="8"/>
        <v>0.04</v>
      </c>
      <c r="R52" s="135">
        <f t="shared" si="9"/>
        <v>-99960</v>
      </c>
      <c r="S52" s="135">
        <f t="shared" si="14"/>
        <v>-34960</v>
      </c>
      <c r="T52" s="134">
        <v>40</v>
      </c>
      <c r="U52" s="152">
        <f t="shared" si="10"/>
        <v>0</v>
      </c>
    </row>
    <row r="53" spans="1:21" s="112" customFormat="1" ht="135" x14ac:dyDescent="0.2">
      <c r="A53" s="116" t="s">
        <v>213</v>
      </c>
      <c r="B53" s="134">
        <v>6000000</v>
      </c>
      <c r="C53" s="134">
        <v>7500000</v>
      </c>
      <c r="D53" s="135">
        <f t="shared" si="19"/>
        <v>8.1737692523121658E-2</v>
      </c>
      <c r="E53" s="135">
        <f t="shared" si="12"/>
        <v>1500000</v>
      </c>
      <c r="F53" s="134">
        <v>8557489.4900000002</v>
      </c>
      <c r="G53" s="135">
        <f t="shared" si="20"/>
        <v>9.2394822967744913E-2</v>
      </c>
      <c r="H53" s="135">
        <f t="shared" si="5"/>
        <v>114.09985986666666</v>
      </c>
      <c r="I53" s="134">
        <v>8000000</v>
      </c>
      <c r="J53" s="134">
        <v>11000000</v>
      </c>
      <c r="K53" s="134">
        <v>11000000</v>
      </c>
      <c r="L53" s="134">
        <f t="shared" si="6"/>
        <v>0</v>
      </c>
      <c r="M53" s="135">
        <f t="shared" si="21"/>
        <v>0.14046462043032748</v>
      </c>
      <c r="N53" s="135">
        <f t="shared" si="7"/>
        <v>3000000</v>
      </c>
      <c r="O53" s="134">
        <v>11860723.52</v>
      </c>
      <c r="P53" s="135">
        <f t="shared" si="13"/>
        <v>0.14503616311373221</v>
      </c>
      <c r="Q53" s="135">
        <f t="shared" si="8"/>
        <v>107.82475927272728</v>
      </c>
      <c r="R53" s="135">
        <f t="shared" si="9"/>
        <v>860723.51999999955</v>
      </c>
      <c r="S53" s="135">
        <f t="shared" si="14"/>
        <v>3303234.0299999993</v>
      </c>
      <c r="T53" s="134">
        <v>11860723.52</v>
      </c>
      <c r="U53" s="152">
        <f t="shared" si="10"/>
        <v>0</v>
      </c>
    </row>
    <row r="54" spans="1:21" s="112" customFormat="1" ht="120.75" customHeight="1" x14ac:dyDescent="0.25">
      <c r="A54" s="121" t="s">
        <v>194</v>
      </c>
      <c r="B54" s="134">
        <v>925000</v>
      </c>
      <c r="C54" s="134">
        <v>1703000</v>
      </c>
      <c r="D54" s="135">
        <f t="shared" si="19"/>
        <v>1.855990538225016E-2</v>
      </c>
      <c r="E54" s="135">
        <f t="shared" si="12"/>
        <v>778000</v>
      </c>
      <c r="F54" s="134">
        <v>1592323.39</v>
      </c>
      <c r="G54" s="135">
        <f t="shared" si="20"/>
        <v>1.7192242876648795E-2</v>
      </c>
      <c r="H54" s="135">
        <f t="shared" si="5"/>
        <v>93.50107985907222</v>
      </c>
      <c r="I54" s="134">
        <v>1024200</v>
      </c>
      <c r="J54" s="134">
        <v>2023000</v>
      </c>
      <c r="K54" s="134">
        <v>2023000</v>
      </c>
      <c r="L54" s="134">
        <f t="shared" si="6"/>
        <v>0</v>
      </c>
      <c r="M54" s="135">
        <f t="shared" si="21"/>
        <v>2.5832720648232041E-2</v>
      </c>
      <c r="N54" s="135">
        <f t="shared" si="7"/>
        <v>998800</v>
      </c>
      <c r="O54" s="134">
        <v>2443596.67</v>
      </c>
      <c r="P54" s="135">
        <f t="shared" si="13"/>
        <v>2.9880966756932959E-2</v>
      </c>
      <c r="Q54" s="135">
        <f t="shared" si="8"/>
        <v>120.79073999011369</v>
      </c>
      <c r="R54" s="135">
        <f t="shared" si="9"/>
        <v>420596.66999999993</v>
      </c>
      <c r="S54" s="135">
        <f t="shared" si="14"/>
        <v>851273.28</v>
      </c>
      <c r="T54" s="134">
        <f>27152.83+1241446.32+20000+1134997.52+20000</f>
        <v>2443596.67</v>
      </c>
      <c r="U54" s="152">
        <f t="shared" si="10"/>
        <v>0</v>
      </c>
    </row>
    <row r="55" spans="1:21" s="112" customFormat="1" ht="120.75" customHeight="1" x14ac:dyDescent="0.2">
      <c r="A55" s="116" t="s">
        <v>195</v>
      </c>
      <c r="B55" s="134"/>
      <c r="C55" s="134">
        <v>213000</v>
      </c>
      <c r="D55" s="135">
        <f t="shared" si="19"/>
        <v>2.3213504676566554E-3</v>
      </c>
      <c r="E55" s="135">
        <f t="shared" si="12"/>
        <v>213000</v>
      </c>
      <c r="F55" s="134">
        <v>213000</v>
      </c>
      <c r="G55" s="135">
        <f t="shared" si="20"/>
        <v>2.2997512664347619E-3</v>
      </c>
      <c r="H55" s="135">
        <f t="shared" si="5"/>
        <v>100</v>
      </c>
      <c r="I55" s="134">
        <v>451400</v>
      </c>
      <c r="J55" s="134">
        <v>166000</v>
      </c>
      <c r="K55" s="134">
        <v>166000</v>
      </c>
      <c r="L55" s="134">
        <f t="shared" si="6"/>
        <v>0</v>
      </c>
      <c r="M55" s="135">
        <f t="shared" si="21"/>
        <v>2.1197388174031234E-3</v>
      </c>
      <c r="N55" s="135">
        <f t="shared" si="7"/>
        <v>-285400</v>
      </c>
      <c r="O55" s="134">
        <v>95000</v>
      </c>
      <c r="P55" s="135">
        <f t="shared" si="13"/>
        <v>1.1616859184493125E-3</v>
      </c>
      <c r="Q55" s="135">
        <f t="shared" si="8"/>
        <v>57.228915662650607</v>
      </c>
      <c r="R55" s="135">
        <f t="shared" si="9"/>
        <v>-71000</v>
      </c>
      <c r="S55" s="135">
        <f t="shared" si="14"/>
        <v>-118000</v>
      </c>
      <c r="T55" s="134">
        <f>89000+6000</f>
        <v>95000</v>
      </c>
      <c r="U55" s="152">
        <f t="shared" si="10"/>
        <v>0</v>
      </c>
    </row>
    <row r="56" spans="1:21" s="112" customFormat="1" ht="75" x14ac:dyDescent="0.2">
      <c r="A56" s="116" t="s">
        <v>196</v>
      </c>
      <c r="B56" s="134">
        <v>8788100</v>
      </c>
      <c r="C56" s="134">
        <v>14585863</v>
      </c>
      <c r="D56" s="135">
        <f t="shared" si="19"/>
        <v>0.15896197134378359</v>
      </c>
      <c r="E56" s="135">
        <f t="shared" si="12"/>
        <v>5797763</v>
      </c>
      <c r="F56" s="134">
        <v>15403843.17</v>
      </c>
      <c r="G56" s="135">
        <f t="shared" si="20"/>
        <v>0.16631459078953031</v>
      </c>
      <c r="H56" s="135">
        <f t="shared" si="5"/>
        <v>105.60803409438304</v>
      </c>
      <c r="I56" s="134">
        <v>9803600</v>
      </c>
      <c r="J56" s="134">
        <v>24915256</v>
      </c>
      <c r="K56" s="134">
        <v>24915256</v>
      </c>
      <c r="L56" s="134">
        <f t="shared" si="6"/>
        <v>0</v>
      </c>
      <c r="M56" s="135">
        <f t="shared" si="21"/>
        <v>0.31815563426949445</v>
      </c>
      <c r="N56" s="135">
        <f t="shared" si="7"/>
        <v>15111656</v>
      </c>
      <c r="O56" s="134">
        <v>26950450.949999999</v>
      </c>
      <c r="P56" s="135">
        <f t="shared" si="13"/>
        <v>0.32955746699446203</v>
      </c>
      <c r="Q56" s="135">
        <f t="shared" si="8"/>
        <v>108.16846894930559</v>
      </c>
      <c r="R56" s="135">
        <f>O56-K56</f>
        <v>2035194.9499999993</v>
      </c>
      <c r="S56" s="135">
        <f t="shared" si="14"/>
        <v>11546607.779999999</v>
      </c>
      <c r="T56" s="134">
        <f>11202.25+899299.25+135.33+7844836.56+2000+133929.73+28602+16814.9+273203.55+5000+4245904.06+2422.29+31.82+7160500+2824982.45+3431536.69+70050.07</f>
        <v>26950450.949999999</v>
      </c>
      <c r="U56" s="152">
        <f t="shared" si="10"/>
        <v>0</v>
      </c>
    </row>
    <row r="57" spans="1:21" s="112" customFormat="1" ht="47.25" customHeight="1" x14ac:dyDescent="0.2">
      <c r="A57" s="116" t="s">
        <v>163</v>
      </c>
      <c r="B57" s="134">
        <v>4000000</v>
      </c>
      <c r="C57" s="134">
        <v>800000</v>
      </c>
      <c r="D57" s="135">
        <f t="shared" si="19"/>
        <v>8.7186872024663103E-3</v>
      </c>
      <c r="E57" s="135">
        <f t="shared" si="12"/>
        <v>-3200000</v>
      </c>
      <c r="F57" s="134">
        <v>811130.55</v>
      </c>
      <c r="G57" s="135">
        <f t="shared" si="20"/>
        <v>8.7577394817203065E-3</v>
      </c>
      <c r="H57" s="135">
        <f t="shared" si="5"/>
        <v>101.39131875000001</v>
      </c>
      <c r="I57" s="134">
        <v>1000000</v>
      </c>
      <c r="J57" s="134">
        <v>1700000</v>
      </c>
      <c r="K57" s="134">
        <v>1700000</v>
      </c>
      <c r="L57" s="134">
        <f t="shared" si="6"/>
        <v>0</v>
      </c>
      <c r="M57" s="135">
        <f t="shared" si="21"/>
        <v>2.1708168611959698E-2</v>
      </c>
      <c r="N57" s="135">
        <f t="shared" si="7"/>
        <v>700000</v>
      </c>
      <c r="O57" s="134">
        <v>1932459</v>
      </c>
      <c r="P57" s="135">
        <f t="shared" si="13"/>
        <v>2.3630635876638311E-2</v>
      </c>
      <c r="Q57" s="135">
        <f t="shared" si="8"/>
        <v>113.67405882352941</v>
      </c>
      <c r="R57" s="135">
        <f t="shared" si="9"/>
        <v>232459</v>
      </c>
      <c r="S57" s="135">
        <f t="shared" si="14"/>
        <v>1121328.45</v>
      </c>
      <c r="T57" s="134">
        <v>1932459</v>
      </c>
      <c r="U57" s="152">
        <f t="shared" si="10"/>
        <v>0</v>
      </c>
    </row>
    <row r="58" spans="1:21" s="106" customFormat="1" ht="28.5" x14ac:dyDescent="0.2">
      <c r="A58" s="109" t="s">
        <v>39</v>
      </c>
      <c r="B58" s="128"/>
      <c r="C58" s="146">
        <f>C60</f>
        <v>0</v>
      </c>
      <c r="D58" s="133">
        <f t="shared" si="19"/>
        <v>0</v>
      </c>
      <c r="E58" s="133">
        <f t="shared" si="12"/>
        <v>0</v>
      </c>
      <c r="F58" s="128">
        <f>F59+F60</f>
        <v>-916553.78</v>
      </c>
      <c r="G58" s="133">
        <f t="shared" si="20"/>
        <v>-9.8959892784533723E-3</v>
      </c>
      <c r="H58" s="133"/>
      <c r="I58" s="128"/>
      <c r="J58" s="128">
        <f>J60</f>
        <v>0</v>
      </c>
      <c r="K58" s="128">
        <f>K60</f>
        <v>0</v>
      </c>
      <c r="L58" s="128">
        <f t="shared" si="6"/>
        <v>0</v>
      </c>
      <c r="M58" s="133">
        <f t="shared" si="21"/>
        <v>0</v>
      </c>
      <c r="N58" s="133">
        <f t="shared" si="7"/>
        <v>0</v>
      </c>
      <c r="O58" s="129">
        <f>O59+O60</f>
        <v>869005.84</v>
      </c>
      <c r="P58" s="133">
        <f t="shared" si="13"/>
        <v>1.0626440498718064E-2</v>
      </c>
      <c r="Q58" s="133"/>
      <c r="R58" s="133">
        <f t="shared" si="9"/>
        <v>869005.84</v>
      </c>
      <c r="S58" s="133">
        <f t="shared" si="14"/>
        <v>1785559.62</v>
      </c>
      <c r="T58" s="142">
        <f>T59+T60</f>
        <v>869005.84</v>
      </c>
      <c r="U58" s="143">
        <f t="shared" si="10"/>
        <v>0</v>
      </c>
    </row>
    <row r="59" spans="1:21" s="112" customFormat="1" ht="45" x14ac:dyDescent="0.2">
      <c r="A59" s="116" t="s">
        <v>58</v>
      </c>
      <c r="B59" s="134"/>
      <c r="C59" s="134"/>
      <c r="D59" s="135">
        <f t="shared" si="19"/>
        <v>0</v>
      </c>
      <c r="E59" s="135">
        <f t="shared" si="12"/>
        <v>0</v>
      </c>
      <c r="F59" s="134">
        <v>-916553.78</v>
      </c>
      <c r="G59" s="135">
        <f t="shared" si="20"/>
        <v>-9.8959892784533723E-3</v>
      </c>
      <c r="H59" s="135"/>
      <c r="I59" s="134"/>
      <c r="J59" s="134"/>
      <c r="K59" s="134"/>
      <c r="L59" s="134">
        <f t="shared" si="6"/>
        <v>0</v>
      </c>
      <c r="M59" s="135">
        <f t="shared" si="21"/>
        <v>0</v>
      </c>
      <c r="N59" s="135">
        <f t="shared" si="7"/>
        <v>0</v>
      </c>
      <c r="O59" s="134">
        <v>869005.84</v>
      </c>
      <c r="P59" s="135">
        <f t="shared" si="13"/>
        <v>1.0626440498718064E-2</v>
      </c>
      <c r="Q59" s="135"/>
      <c r="R59" s="135">
        <f t="shared" si="9"/>
        <v>869005.84</v>
      </c>
      <c r="S59" s="135">
        <f t="shared" si="14"/>
        <v>1785559.62</v>
      </c>
      <c r="T59" s="134">
        <v>869005.84</v>
      </c>
      <c r="U59" s="152">
        <f t="shared" si="10"/>
        <v>0</v>
      </c>
    </row>
    <row r="60" spans="1:21" s="112" customFormat="1" ht="30" x14ac:dyDescent="0.2">
      <c r="A60" s="116" t="s">
        <v>59</v>
      </c>
      <c r="B60" s="134"/>
      <c r="C60" s="134"/>
      <c r="D60" s="135">
        <f t="shared" si="19"/>
        <v>0</v>
      </c>
      <c r="E60" s="135">
        <f t="shared" si="12"/>
        <v>0</v>
      </c>
      <c r="F60" s="134"/>
      <c r="G60" s="135">
        <f t="shared" si="20"/>
        <v>0</v>
      </c>
      <c r="H60" s="135"/>
      <c r="I60" s="134"/>
      <c r="J60" s="134"/>
      <c r="K60" s="134"/>
      <c r="L60" s="134">
        <f t="shared" si="6"/>
        <v>0</v>
      </c>
      <c r="M60" s="135">
        <f t="shared" si="21"/>
        <v>0</v>
      </c>
      <c r="N60" s="135">
        <f t="shared" si="7"/>
        <v>0</v>
      </c>
      <c r="O60" s="134"/>
      <c r="P60" s="135">
        <f t="shared" si="13"/>
        <v>0</v>
      </c>
      <c r="Q60" s="135"/>
      <c r="R60" s="135">
        <f t="shared" si="9"/>
        <v>0</v>
      </c>
      <c r="S60" s="135">
        <f t="shared" si="14"/>
        <v>0</v>
      </c>
      <c r="T60" s="134"/>
      <c r="U60" s="152">
        <f t="shared" si="10"/>
        <v>0</v>
      </c>
    </row>
    <row r="61" spans="1:21" s="80" customFormat="1" ht="28.5" x14ac:dyDescent="0.2">
      <c r="A61" s="84" t="s">
        <v>40</v>
      </c>
      <c r="B61" s="150">
        <f>SUM(B62:B70)</f>
        <v>4154032200</v>
      </c>
      <c r="C61" s="150">
        <f>C62+C63+C64+C65+C66+C70+C69</f>
        <v>6460823841.8500004</v>
      </c>
      <c r="D61" s="133">
        <f t="shared" si="19"/>
        <v>70.412377684158528</v>
      </c>
      <c r="E61" s="133">
        <f t="shared" si="12"/>
        <v>2306791641.8500004</v>
      </c>
      <c r="F61" s="150">
        <f>SUM(F62:F70)</f>
        <v>6436877876.8800001</v>
      </c>
      <c r="G61" s="133">
        <f t="shared" si="20"/>
        <v>69.49867628751494</v>
      </c>
      <c r="H61" s="133">
        <f t="shared" ref="H61:H71" si="22">F61/C61*100</f>
        <v>99.629366694462547</v>
      </c>
      <c r="I61" s="150">
        <f>SUM(I62:I70)</f>
        <v>4516604851</v>
      </c>
      <c r="J61" s="150">
        <f>+J67+J68+J62+J63+J64+J65+J66+J70+J69</f>
        <v>4917380980.3199997</v>
      </c>
      <c r="K61" s="150">
        <f>+K67+K68+K62+K63+K64+K65+K66+K70+K69</f>
        <v>4859538701.1700001</v>
      </c>
      <c r="L61" s="150">
        <f t="shared" si="6"/>
        <v>-57842279.149999619</v>
      </c>
      <c r="M61" s="133">
        <f t="shared" si="21"/>
        <v>62.053932647848228</v>
      </c>
      <c r="N61" s="133">
        <f t="shared" si="7"/>
        <v>342933850.17000008</v>
      </c>
      <c r="O61" s="150">
        <f>SUM(O62:O70)</f>
        <v>5097540349.6199989</v>
      </c>
      <c r="P61" s="133">
        <f>O61/O$71*100</f>
        <v>62.334114135586702</v>
      </c>
      <c r="Q61" s="133">
        <f>O61/K61*100</f>
        <v>104.89761812973516</v>
      </c>
      <c r="R61" s="133">
        <f t="shared" si="9"/>
        <v>238001648.44999886</v>
      </c>
      <c r="S61" s="139">
        <f t="shared" si="14"/>
        <v>-1339337527.2600012</v>
      </c>
      <c r="T61" s="150">
        <f>SUM(T62:T70)</f>
        <v>5097540349.6199989</v>
      </c>
      <c r="U61" s="151">
        <f t="shared" si="10"/>
        <v>0</v>
      </c>
    </row>
    <row r="62" spans="1:21" ht="45" x14ac:dyDescent="0.25">
      <c r="A62" s="82" t="s">
        <v>197</v>
      </c>
      <c r="B62" s="134">
        <v>757578500</v>
      </c>
      <c r="C62" s="134">
        <v>789312300</v>
      </c>
      <c r="D62" s="135">
        <f t="shared" si="19"/>
        <v>8.6022088109490618</v>
      </c>
      <c r="E62" s="135">
        <f t="shared" si="12"/>
        <v>31733800</v>
      </c>
      <c r="F62" s="134">
        <v>789312300</v>
      </c>
      <c r="G62" s="135">
        <f t="shared" si="20"/>
        <v>8.5221688335095536</v>
      </c>
      <c r="H62" s="135">
        <f t="shared" si="22"/>
        <v>100</v>
      </c>
      <c r="I62" s="134">
        <v>1050111700</v>
      </c>
      <c r="J62" s="134">
        <v>1203958300</v>
      </c>
      <c r="K62" s="134">
        <v>1203958300</v>
      </c>
      <c r="L62" s="134">
        <f t="shared" si="6"/>
        <v>0</v>
      </c>
      <c r="M62" s="135">
        <f t="shared" si="21"/>
        <v>15.37395869304021</v>
      </c>
      <c r="N62" s="135">
        <f t="shared" si="7"/>
        <v>153846600</v>
      </c>
      <c r="O62" s="134">
        <v>1203958300</v>
      </c>
      <c r="P62" s="135">
        <f t="shared" si="13"/>
        <v>14.722330563264977</v>
      </c>
      <c r="Q62" s="135">
        <f t="shared" si="8"/>
        <v>100</v>
      </c>
      <c r="R62" s="135">
        <f t="shared" si="9"/>
        <v>0</v>
      </c>
      <c r="S62" s="141">
        <f t="shared" si="14"/>
        <v>414646000</v>
      </c>
      <c r="T62" s="134">
        <f>1050111700+102705300+51141300</f>
        <v>1203958300</v>
      </c>
      <c r="U62" s="152">
        <f t="shared" si="10"/>
        <v>0</v>
      </c>
    </row>
    <row r="63" spans="1:21" ht="60" x14ac:dyDescent="0.2">
      <c r="A63" s="86" t="s">
        <v>214</v>
      </c>
      <c r="B63" s="134">
        <v>562737600</v>
      </c>
      <c r="C63" s="134">
        <v>2037701983</v>
      </c>
      <c r="D63" s="135">
        <f t="shared" si="19"/>
        <v>22.207607752027904</v>
      </c>
      <c r="E63" s="135">
        <f t="shared" si="12"/>
        <v>1474964383</v>
      </c>
      <c r="F63" s="134">
        <v>2027096268.3999999</v>
      </c>
      <c r="G63" s="135">
        <f t="shared" si="20"/>
        <v>21.8864657767046</v>
      </c>
      <c r="H63" s="135">
        <f t="shared" si="22"/>
        <v>99.47952572611301</v>
      </c>
      <c r="I63" s="134">
        <v>365000400</v>
      </c>
      <c r="J63" s="134">
        <v>725018817.51999998</v>
      </c>
      <c r="K63" s="134">
        <v>654435811.16999996</v>
      </c>
      <c r="L63" s="134">
        <f t="shared" si="6"/>
        <v>-70583006.350000024</v>
      </c>
      <c r="M63" s="135">
        <f t="shared" si="21"/>
        <v>8.3568252556370464</v>
      </c>
      <c r="N63" s="135">
        <f t="shared" si="7"/>
        <v>289435411.16999996</v>
      </c>
      <c r="O63" s="134">
        <v>619408634.90999997</v>
      </c>
      <c r="P63" s="135">
        <f t="shared" si="13"/>
        <v>7.574297778324822</v>
      </c>
      <c r="Q63" s="135">
        <f t="shared" si="8"/>
        <v>94.647729286485955</v>
      </c>
      <c r="R63" s="135">
        <f t="shared" si="9"/>
        <v>-35027176.25999999</v>
      </c>
      <c r="S63" s="141">
        <f t="shared" si="14"/>
        <v>-1407687633.4899998</v>
      </c>
      <c r="T63" s="134">
        <f>28909200+81518146+857000+1476589.27+259610.8+14018045.78+492370043.06</f>
        <v>619408634.90999997</v>
      </c>
      <c r="U63" s="152">
        <f t="shared" si="10"/>
        <v>0</v>
      </c>
    </row>
    <row r="64" spans="1:21" ht="45" x14ac:dyDescent="0.2">
      <c r="A64" s="86" t="s">
        <v>215</v>
      </c>
      <c r="B64" s="134">
        <v>2831470600</v>
      </c>
      <c r="C64" s="134">
        <v>2933020055.8499999</v>
      </c>
      <c r="D64" s="135">
        <f t="shared" si="19"/>
        <v>31.965105531895521</v>
      </c>
      <c r="E64" s="135">
        <f t="shared" si="12"/>
        <v>101549455.8499999</v>
      </c>
      <c r="F64" s="134">
        <v>2919774711.46</v>
      </c>
      <c r="G64" s="135">
        <f t="shared" si="20"/>
        <v>31.524674133259751</v>
      </c>
      <c r="H64" s="135">
        <f t="shared" si="22"/>
        <v>99.54840593866443</v>
      </c>
      <c r="I64" s="134">
        <v>3097068500</v>
      </c>
      <c r="J64" s="134">
        <v>3197222498.8000002</v>
      </c>
      <c r="K64" s="134">
        <v>3207745226</v>
      </c>
      <c r="L64" s="134">
        <f t="shared" si="6"/>
        <v>10522727.199999809</v>
      </c>
      <c r="M64" s="135">
        <f t="shared" si="21"/>
        <v>40.961337782480449</v>
      </c>
      <c r="N64" s="135">
        <f t="shared" si="7"/>
        <v>110676726</v>
      </c>
      <c r="O64" s="134">
        <v>3204152747.6500001</v>
      </c>
      <c r="P64" s="135">
        <f>O64/O$71*100</f>
        <v>39.181253973743978</v>
      </c>
      <c r="Q64" s="135">
        <f t="shared" si="8"/>
        <v>99.888006119660574</v>
      </c>
      <c r="R64" s="135">
        <f t="shared" si="9"/>
        <v>-3592478.3499999046</v>
      </c>
      <c r="S64" s="141">
        <f t="shared" si="14"/>
        <v>284378036.19000006</v>
      </c>
      <c r="T64" s="134">
        <f>2990789364.25+75018400+127699668+15400+929574+9700341.4</f>
        <v>3204152747.6500001</v>
      </c>
      <c r="U64" s="152">
        <f t="shared" si="10"/>
        <v>0</v>
      </c>
    </row>
    <row r="65" spans="1:21" ht="30" x14ac:dyDescent="0.2">
      <c r="A65" s="87" t="s">
        <v>143</v>
      </c>
      <c r="B65" s="134">
        <v>2222500</v>
      </c>
      <c r="C65" s="134">
        <v>42303976</v>
      </c>
      <c r="D65" s="135">
        <f t="shared" si="19"/>
        <v>0.46104391770580244</v>
      </c>
      <c r="E65" s="135">
        <f t="shared" si="12"/>
        <v>40081476</v>
      </c>
      <c r="F65" s="134">
        <v>42233322.390000001</v>
      </c>
      <c r="G65" s="135">
        <f t="shared" si="20"/>
        <v>0.45599125188802864</v>
      </c>
      <c r="H65" s="135">
        <f>F65/C65*100</f>
        <v>99.83298588766219</v>
      </c>
      <c r="I65" s="134">
        <v>4362800</v>
      </c>
      <c r="J65" s="134">
        <v>14992089</v>
      </c>
      <c r="K65" s="134">
        <v>17210089</v>
      </c>
      <c r="L65" s="134">
        <f t="shared" si="6"/>
        <v>2218000</v>
      </c>
      <c r="M65" s="135">
        <f t="shared" si="21"/>
        <v>0.2197644199051958</v>
      </c>
      <c r="N65" s="135">
        <f t="shared" si="7"/>
        <v>12847289</v>
      </c>
      <c r="O65" s="134">
        <v>15655410.529999999</v>
      </c>
      <c r="P65" s="135">
        <f t="shared" si="13"/>
        <v>0.19143863116046406</v>
      </c>
      <c r="Q65" s="135">
        <f t="shared" si="8"/>
        <v>90.966470481355444</v>
      </c>
      <c r="R65" s="135">
        <f t="shared" si="9"/>
        <v>-1554678.4700000007</v>
      </c>
      <c r="S65" s="141">
        <f t="shared" si="14"/>
        <v>-26577911.859999999</v>
      </c>
      <c r="T65" s="134">
        <f>2218000+13437410.53</f>
        <v>15655410.529999999</v>
      </c>
      <c r="U65" s="152">
        <f t="shared" si="10"/>
        <v>0</v>
      </c>
    </row>
    <row r="66" spans="1:21" ht="45" x14ac:dyDescent="0.2">
      <c r="A66" s="86" t="s">
        <v>216</v>
      </c>
      <c r="B66" s="134">
        <v>23000</v>
      </c>
      <c r="C66" s="134">
        <v>685377930</v>
      </c>
      <c r="D66" s="135">
        <f t="shared" si="19"/>
        <v>7.4694947339298139</v>
      </c>
      <c r="E66" s="135">
        <f t="shared" si="12"/>
        <v>685354930</v>
      </c>
      <c r="F66" s="134">
        <v>685377909.18999994</v>
      </c>
      <c r="G66" s="135">
        <f t="shared" si="20"/>
        <v>7.3999939654747022</v>
      </c>
      <c r="H66" s="135">
        <f t="shared" si="22"/>
        <v>99.999996963718971</v>
      </c>
      <c r="I66" s="134">
        <v>61451</v>
      </c>
      <c r="J66" s="134"/>
      <c r="K66" s="134"/>
      <c r="L66" s="134">
        <f t="shared" si="6"/>
        <v>0</v>
      </c>
      <c r="M66" s="135">
        <f t="shared" si="21"/>
        <v>0</v>
      </c>
      <c r="N66" s="135">
        <f t="shared" si="7"/>
        <v>-61451</v>
      </c>
      <c r="O66" s="134"/>
      <c r="P66" s="135">
        <f t="shared" si="13"/>
        <v>0</v>
      </c>
      <c r="Q66" s="135"/>
      <c r="R66" s="135">
        <f t="shared" si="9"/>
        <v>0</v>
      </c>
      <c r="S66" s="141">
        <f t="shared" si="14"/>
        <v>-685377909.18999994</v>
      </c>
      <c r="T66" s="134">
        <v>0</v>
      </c>
      <c r="U66" s="152">
        <f t="shared" si="10"/>
        <v>0</v>
      </c>
    </row>
    <row r="67" spans="1:21" ht="60" x14ac:dyDescent="0.2">
      <c r="A67" s="127" t="s">
        <v>217</v>
      </c>
      <c r="B67" s="134"/>
      <c r="C67" s="134"/>
      <c r="D67" s="135"/>
      <c r="E67" s="135"/>
      <c r="F67" s="134"/>
      <c r="G67" s="135"/>
      <c r="H67" s="135"/>
      <c r="I67" s="134"/>
      <c r="J67" s="134">
        <v>2060951</v>
      </c>
      <c r="K67" s="134">
        <v>2060951</v>
      </c>
      <c r="L67" s="134">
        <f t="shared" si="6"/>
        <v>0</v>
      </c>
      <c r="M67" s="135">
        <f t="shared" si="21"/>
        <v>2.6317336358227618E-2</v>
      </c>
      <c r="N67" s="135">
        <f t="shared" si="7"/>
        <v>2060951</v>
      </c>
      <c r="O67" s="134">
        <v>405060610</v>
      </c>
      <c r="P67" s="135">
        <f t="shared" si="13"/>
        <v>4.953191650057776</v>
      </c>
      <c r="Q67" s="135">
        <f t="shared" si="8"/>
        <v>19654.06309999607</v>
      </c>
      <c r="R67" s="135">
        <f t="shared" si="9"/>
        <v>402999659</v>
      </c>
      <c r="S67" s="141">
        <f t="shared" si="14"/>
        <v>405060610</v>
      </c>
      <c r="T67" s="134">
        <v>405060610</v>
      </c>
      <c r="U67" s="152">
        <f t="shared" si="10"/>
        <v>0</v>
      </c>
    </row>
    <row r="68" spans="1:21" ht="78.75" customHeight="1" x14ac:dyDescent="0.2">
      <c r="A68" s="127" t="s">
        <v>218</v>
      </c>
      <c r="B68" s="134"/>
      <c r="C68" s="134"/>
      <c r="D68" s="135"/>
      <c r="E68" s="135"/>
      <c r="F68" s="134"/>
      <c r="G68" s="135"/>
      <c r="H68" s="135"/>
      <c r="I68" s="134"/>
      <c r="J68" s="134">
        <v>500</v>
      </c>
      <c r="K68" s="134">
        <v>500</v>
      </c>
      <c r="L68" s="134">
        <f t="shared" si="6"/>
        <v>0</v>
      </c>
      <c r="M68" s="135">
        <f t="shared" si="21"/>
        <v>6.384755474105793E-6</v>
      </c>
      <c r="N68" s="135">
        <f t="shared" si="7"/>
        <v>500</v>
      </c>
      <c r="O68" s="134">
        <v>500</v>
      </c>
      <c r="P68" s="135">
        <f t="shared" si="13"/>
        <v>6.1141364128911176E-6</v>
      </c>
      <c r="Q68" s="135">
        <f t="shared" si="8"/>
        <v>100</v>
      </c>
      <c r="R68" s="135">
        <f t="shared" si="9"/>
        <v>0</v>
      </c>
      <c r="S68" s="141">
        <f t="shared" si="14"/>
        <v>500</v>
      </c>
      <c r="T68" s="134">
        <v>500</v>
      </c>
      <c r="U68" s="152">
        <f t="shared" si="10"/>
        <v>0</v>
      </c>
    </row>
    <row r="69" spans="1:21" ht="60" x14ac:dyDescent="0.2">
      <c r="A69" s="86" t="s">
        <v>219</v>
      </c>
      <c r="B69" s="134"/>
      <c r="C69" s="134">
        <v>110170</v>
      </c>
      <c r="D69" s="135">
        <f>C69/C$71*100</f>
        <v>1.2006722113696417E-3</v>
      </c>
      <c r="E69" s="135">
        <f t="shared" si="12"/>
        <v>110170</v>
      </c>
      <c r="F69" s="134">
        <v>110169.05</v>
      </c>
      <c r="G69" s="135">
        <f>F69/F$71*100</f>
        <v>1.1894901984010077E-3</v>
      </c>
      <c r="H69" s="135">
        <f t="shared" si="22"/>
        <v>99.999137696287548</v>
      </c>
      <c r="I69" s="134"/>
      <c r="J69" s="134">
        <v>230543</v>
      </c>
      <c r="K69" s="134">
        <v>230543</v>
      </c>
      <c r="L69" s="134">
        <f t="shared" si="6"/>
        <v>0</v>
      </c>
      <c r="M69" s="135">
        <f t="shared" si="21"/>
        <v>2.9439213625335439E-3</v>
      </c>
      <c r="N69" s="135">
        <f t="shared" si="7"/>
        <v>230543</v>
      </c>
      <c r="O69" s="134">
        <v>230543.26</v>
      </c>
      <c r="P69" s="135">
        <f t="shared" si="13"/>
        <v>2.8191458814252487E-3</v>
      </c>
      <c r="Q69" s="135">
        <f t="shared" si="8"/>
        <v>100.00011277722594</v>
      </c>
      <c r="R69" s="135">
        <f t="shared" si="9"/>
        <v>0.26000000000931323</v>
      </c>
      <c r="S69" s="141">
        <f t="shared" si="14"/>
        <v>120374.21</v>
      </c>
      <c r="T69" s="134">
        <f>19926.26+210617</f>
        <v>230543.26</v>
      </c>
      <c r="U69" s="152">
        <f t="shared" si="10"/>
        <v>0</v>
      </c>
    </row>
    <row r="70" spans="1:21" ht="90" x14ac:dyDescent="0.2">
      <c r="A70" s="86" t="s">
        <v>220</v>
      </c>
      <c r="B70" s="134"/>
      <c r="C70" s="134">
        <v>-27002573</v>
      </c>
      <c r="D70" s="135">
        <f>C70/C$71*100</f>
        <v>-0.29428373456095291</v>
      </c>
      <c r="E70" s="135">
        <f t="shared" si="12"/>
        <v>-27002573</v>
      </c>
      <c r="F70" s="134">
        <v>-27026803.609999999</v>
      </c>
      <c r="G70" s="135">
        <f>F70/F$71*100</f>
        <v>-0.29180716352009906</v>
      </c>
      <c r="H70" s="135">
        <f t="shared" si="22"/>
        <v>100.0897344486394</v>
      </c>
      <c r="I70" s="134"/>
      <c r="J70" s="134">
        <v>-226102719</v>
      </c>
      <c r="K70" s="134">
        <v>-226102719</v>
      </c>
      <c r="L70" s="134">
        <f t="shared" si="6"/>
        <v>0</v>
      </c>
      <c r="M70" s="135">
        <f t="shared" si="21"/>
        <v>-2.887221145690908</v>
      </c>
      <c r="N70" s="135">
        <f t="shared" si="7"/>
        <v>-226102719</v>
      </c>
      <c r="O70" s="134">
        <v>-350926396.73000002</v>
      </c>
      <c r="P70" s="135">
        <f t="shared" si="13"/>
        <v>-4.291223720983135</v>
      </c>
      <c r="Q70" s="135">
        <f t="shared" si="8"/>
        <v>155.20662391061296</v>
      </c>
      <c r="R70" s="135">
        <f t="shared" si="9"/>
        <v>-124823677.73000002</v>
      </c>
      <c r="S70" s="141">
        <f t="shared" si="14"/>
        <v>-323899593.12</v>
      </c>
      <c r="T70" s="134">
        <f>-888174-20222.82-350017999.91</f>
        <v>-350926396.73000002</v>
      </c>
      <c r="U70" s="152">
        <f t="shared" si="10"/>
        <v>0</v>
      </c>
    </row>
    <row r="71" spans="1:21" s="80" customFormat="1" ht="14.25" x14ac:dyDescent="0.2">
      <c r="A71" s="85" t="s">
        <v>48</v>
      </c>
      <c r="B71" s="128">
        <f>B9+B24+B61</f>
        <v>6566911340</v>
      </c>
      <c r="C71" s="146">
        <f>C9+C24+C61</f>
        <v>9175693328.8500004</v>
      </c>
      <c r="D71" s="133">
        <f>C71/C$71*100</f>
        <v>100</v>
      </c>
      <c r="E71" s="133">
        <f>C71-B71</f>
        <v>2608781988.8500004</v>
      </c>
      <c r="F71" s="128">
        <f>F9+F24+F61</f>
        <v>9261871190.539999</v>
      </c>
      <c r="G71" s="133">
        <f>F71/F$71*100</f>
        <v>100</v>
      </c>
      <c r="H71" s="133">
        <f t="shared" si="22"/>
        <v>100.93919727481561</v>
      </c>
      <c r="I71" s="128">
        <f>I9+I24+I61</f>
        <v>7115038251</v>
      </c>
      <c r="J71" s="128">
        <f>J9+J24+J61</f>
        <v>7888995751.3199997</v>
      </c>
      <c r="K71" s="128">
        <f>K9+K24+K61</f>
        <v>7831153472.1700001</v>
      </c>
      <c r="L71" s="128">
        <f>K71-J71</f>
        <v>-57842279.149999619</v>
      </c>
      <c r="M71" s="133">
        <f t="shared" si="21"/>
        <v>100</v>
      </c>
      <c r="N71" s="133">
        <f>K71-I71</f>
        <v>716115221.17000008</v>
      </c>
      <c r="O71" s="129">
        <f>O9+O24+O61</f>
        <v>8177769781.9399986</v>
      </c>
      <c r="P71" s="133">
        <f t="shared" si="13"/>
        <v>100</v>
      </c>
      <c r="Q71" s="133">
        <f>O71/K71*100</f>
        <v>104.4261207624367</v>
      </c>
      <c r="R71" s="133">
        <f>O71-K71</f>
        <v>346616309.76999855</v>
      </c>
      <c r="S71" s="139">
        <f t="shared" si="14"/>
        <v>-1084101408.6000004</v>
      </c>
      <c r="T71" s="142">
        <f>T9+T24+T61</f>
        <v>8177769781.9399986</v>
      </c>
      <c r="U71" s="143">
        <f t="shared" si="10"/>
        <v>0</v>
      </c>
    </row>
    <row r="72" spans="1:21" x14ac:dyDescent="0.25">
      <c r="O72" s="144"/>
    </row>
    <row r="73" spans="1:21" ht="18.75" x14ac:dyDescent="0.3">
      <c r="C73" s="148"/>
      <c r="E73" s="122"/>
      <c r="F73" s="122"/>
      <c r="J73" s="98"/>
      <c r="K73" s="98"/>
      <c r="L73" s="98"/>
      <c r="M73" s="98"/>
      <c r="O73" s="144"/>
    </row>
    <row r="74" spans="1:21" x14ac:dyDescent="0.25">
      <c r="J74" s="99"/>
      <c r="K74" s="99"/>
      <c r="L74" s="99"/>
      <c r="M74" s="99"/>
      <c r="O74" s="145"/>
    </row>
    <row r="75" spans="1:21" x14ac:dyDescent="0.25">
      <c r="C75" s="130"/>
      <c r="J75" s="99"/>
      <c r="K75" s="99"/>
      <c r="L75" s="99"/>
      <c r="M75" s="99"/>
      <c r="O75" s="144"/>
      <c r="R75" s="83"/>
    </row>
    <row r="76" spans="1:21" x14ac:dyDescent="0.25">
      <c r="C76" s="130"/>
      <c r="J76" s="99"/>
      <c r="K76" s="99"/>
      <c r="L76" s="99"/>
      <c r="M76" s="99"/>
    </row>
    <row r="77" spans="1:21" x14ac:dyDescent="0.25">
      <c r="C77" s="124"/>
      <c r="K77" s="99"/>
      <c r="L77" s="99"/>
      <c r="M77" s="99"/>
      <c r="O77" s="145"/>
      <c r="P77" s="99"/>
    </row>
    <row r="78" spans="1:21" x14ac:dyDescent="0.25">
      <c r="C78" s="125"/>
      <c r="D78" s="111"/>
      <c r="E78" s="111"/>
      <c r="F78" s="111"/>
      <c r="G78" s="111"/>
      <c r="H78" s="111"/>
      <c r="I78" s="126"/>
    </row>
    <row r="79" spans="1:21" x14ac:dyDescent="0.25">
      <c r="C79" s="125"/>
      <c r="D79" s="111"/>
      <c r="E79" s="111"/>
      <c r="F79" s="111"/>
      <c r="G79" s="111"/>
      <c r="H79" s="111"/>
      <c r="I79" s="126"/>
      <c r="K79" s="99"/>
      <c r="L79" s="99"/>
      <c r="M79" s="99"/>
    </row>
    <row r="80" spans="1:21" x14ac:dyDescent="0.25">
      <c r="C80" s="125"/>
      <c r="D80" s="111"/>
      <c r="E80" s="111"/>
      <c r="F80" s="111"/>
      <c r="G80" s="111"/>
      <c r="H80" s="111"/>
      <c r="I80" s="126"/>
    </row>
    <row r="81" spans="3:9" x14ac:dyDescent="0.25">
      <c r="C81" s="125"/>
      <c r="D81" s="111"/>
      <c r="E81" s="111"/>
      <c r="F81" s="111"/>
      <c r="G81" s="111"/>
      <c r="H81" s="111"/>
      <c r="I81" s="126"/>
    </row>
  </sheetData>
  <autoFilter ref="A8:W73"/>
  <mergeCells count="6">
    <mergeCell ref="R1:S2"/>
    <mergeCell ref="A4:S4"/>
    <mergeCell ref="B6:H6"/>
    <mergeCell ref="R6:S6"/>
    <mergeCell ref="A6:A7"/>
    <mergeCell ref="I6:Q6"/>
  </mergeCells>
  <pageMargins left="0.39370078740157483" right="0.39370078740157483" top="0.98425196850393704" bottom="0.39370078740157483" header="0.31496062992125984" footer="0.31496062992125984"/>
  <pageSetup paperSize="9" scale="49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68" t="s">
        <v>73</v>
      </c>
      <c r="T1" s="168"/>
    </row>
    <row r="2" spans="1:20" s="29" customFormat="1" ht="12.75" x14ac:dyDescent="0.2">
      <c r="A2" s="165" t="s">
        <v>150</v>
      </c>
      <c r="B2" s="166"/>
      <c r="C2" s="166"/>
      <c r="D2" s="166"/>
      <c r="E2" s="166"/>
      <c r="F2" s="166"/>
      <c r="G2" s="166"/>
      <c r="H2" s="166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69" t="s">
        <v>0</v>
      </c>
      <c r="B4" s="161" t="s">
        <v>107</v>
      </c>
      <c r="C4" s="161"/>
      <c r="D4" s="161"/>
      <c r="E4" s="161"/>
      <c r="F4" s="161"/>
      <c r="G4" s="161"/>
      <c r="H4" s="162"/>
      <c r="L4" s="161" t="s">
        <v>149</v>
      </c>
      <c r="M4" s="161"/>
      <c r="N4" s="161"/>
      <c r="O4" s="161"/>
      <c r="P4" s="161"/>
      <c r="Q4" s="161"/>
      <c r="R4" s="162"/>
      <c r="S4" s="163" t="s">
        <v>56</v>
      </c>
      <c r="T4" s="164"/>
    </row>
    <row r="5" spans="1:20" ht="120" x14ac:dyDescent="0.2">
      <c r="A5" s="170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2020-04-16T04:54:43Z</cp:lastPrinted>
  <dcterms:created xsi:type="dcterms:W3CDTF">1996-10-08T23:32:33Z</dcterms:created>
  <dcterms:modified xsi:type="dcterms:W3CDTF">2020-04-16T04:54:47Z</dcterms:modified>
</cp:coreProperties>
</file>