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840" windowWidth="19320" windowHeight="11865"/>
  </bookViews>
  <sheets>
    <sheet name="Лист1" sheetId="3" r:id="rId1"/>
  </sheets>
  <definedNames>
    <definedName name="_xlnm._FilterDatabase" localSheetId="0" hidden="1">Лист1!$A$5:$M$66</definedName>
  </definedNames>
  <calcPr calcId="125725"/>
</workbook>
</file>

<file path=xl/calcChain.xml><?xml version="1.0" encoding="utf-8"?>
<calcChain xmlns="http://schemas.openxmlformats.org/spreadsheetml/2006/main">
  <c r="L65" i="3"/>
  <c r="M65"/>
  <c r="J65"/>
  <c r="H65"/>
  <c r="I65"/>
  <c r="K65"/>
  <c r="G65"/>
  <c r="L64"/>
  <c r="M64"/>
  <c r="J64"/>
  <c r="H64"/>
  <c r="K62"/>
  <c r="I62"/>
  <c r="G62"/>
  <c r="H60"/>
  <c r="I60"/>
  <c r="J60" s="1"/>
  <c r="K60"/>
  <c r="G60"/>
  <c r="L59"/>
  <c r="M59"/>
  <c r="J59"/>
  <c r="H59"/>
  <c r="L58"/>
  <c r="M58"/>
  <c r="J58"/>
  <c r="H58"/>
  <c r="I52"/>
  <c r="K36"/>
  <c r="I36"/>
  <c r="K47"/>
  <c r="I47"/>
  <c r="J47" s="1"/>
  <c r="G47"/>
  <c r="K38"/>
  <c r="I38"/>
  <c r="G38"/>
  <c r="K37"/>
  <c r="I37"/>
  <c r="G37"/>
  <c r="L34"/>
  <c r="I34"/>
  <c r="J46"/>
  <c r="J48"/>
  <c r="K42"/>
  <c r="G42"/>
  <c r="I42"/>
  <c r="G27"/>
  <c r="G7"/>
  <c r="G9"/>
  <c r="L60" l="1"/>
  <c r="M60"/>
  <c r="G12"/>
  <c r="K12"/>
  <c r="I12"/>
  <c r="C12" l="1"/>
  <c r="G34" l="1"/>
  <c r="L56" l="1"/>
  <c r="M56"/>
  <c r="H56"/>
  <c r="J56"/>
  <c r="L55"/>
  <c r="M55"/>
  <c r="J55"/>
  <c r="H55"/>
  <c r="L57"/>
  <c r="M57"/>
  <c r="J57"/>
  <c r="H57"/>
  <c r="L11" l="1"/>
  <c r="D11"/>
  <c r="M11" s="1"/>
  <c r="L53" l="1"/>
  <c r="M53"/>
  <c r="J53"/>
  <c r="H53"/>
  <c r="L48"/>
  <c r="M48"/>
  <c r="H48"/>
  <c r="L47" l="1"/>
  <c r="M47"/>
  <c r="H47"/>
  <c r="L38"/>
  <c r="F38"/>
  <c r="H38" s="1"/>
  <c r="M34"/>
  <c r="G49"/>
  <c r="H49" s="1"/>
  <c r="J37"/>
  <c r="J42"/>
  <c r="F30"/>
  <c r="L28"/>
  <c r="M28"/>
  <c r="J28"/>
  <c r="H28"/>
  <c r="L33"/>
  <c r="M33"/>
  <c r="L35"/>
  <c r="M35"/>
  <c r="L36"/>
  <c r="M36"/>
  <c r="L37"/>
  <c r="M37"/>
  <c r="M38"/>
  <c r="L39"/>
  <c r="M39"/>
  <c r="L40"/>
  <c r="M40"/>
  <c r="L41"/>
  <c r="M41"/>
  <c r="L42"/>
  <c r="M42"/>
  <c r="L43"/>
  <c r="M43"/>
  <c r="L44"/>
  <c r="M44"/>
  <c r="L45"/>
  <c r="M45"/>
  <c r="L49"/>
  <c r="M49"/>
  <c r="J33"/>
  <c r="J35"/>
  <c r="J36"/>
  <c r="J39"/>
  <c r="J40"/>
  <c r="J41"/>
  <c r="J43"/>
  <c r="J44"/>
  <c r="J45"/>
  <c r="H35"/>
  <c r="H36"/>
  <c r="H39"/>
  <c r="H40"/>
  <c r="H41"/>
  <c r="H43"/>
  <c r="H44"/>
  <c r="H45"/>
  <c r="B30"/>
  <c r="G30" l="1"/>
  <c r="J38"/>
  <c r="J34"/>
  <c r="J49"/>
  <c r="H37"/>
  <c r="H42"/>
  <c r="L54" l="1"/>
  <c r="M54"/>
  <c r="J54"/>
  <c r="H54"/>
  <c r="J52"/>
  <c r="H33"/>
  <c r="H20"/>
  <c r="L29" l="1"/>
  <c r="L63" l="1"/>
  <c r="M63"/>
  <c r="J63"/>
  <c r="M62"/>
  <c r="L62"/>
  <c r="J62"/>
  <c r="M52"/>
  <c r="L52"/>
  <c r="M32"/>
  <c r="L32"/>
  <c r="J32"/>
  <c r="L8"/>
  <c r="M8"/>
  <c r="L9"/>
  <c r="M9"/>
  <c r="L10"/>
  <c r="M10"/>
  <c r="L12"/>
  <c r="M12"/>
  <c r="L13"/>
  <c r="M13"/>
  <c r="L14"/>
  <c r="M14"/>
  <c r="L15"/>
  <c r="M15"/>
  <c r="L16"/>
  <c r="M16"/>
  <c r="L17"/>
  <c r="M17"/>
  <c r="L18"/>
  <c r="M18"/>
  <c r="L19"/>
  <c r="M19"/>
  <c r="L20"/>
  <c r="M20"/>
  <c r="L21"/>
  <c r="M21"/>
  <c r="L22"/>
  <c r="M22"/>
  <c r="L23"/>
  <c r="M23"/>
  <c r="L24"/>
  <c r="M24"/>
  <c r="L25"/>
  <c r="M25"/>
  <c r="L26"/>
  <c r="M26"/>
  <c r="L27"/>
  <c r="M27"/>
  <c r="M29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9"/>
  <c r="M7"/>
  <c r="L7"/>
  <c r="J7"/>
  <c r="H63"/>
  <c r="H62"/>
  <c r="H52"/>
  <c r="H34"/>
  <c r="H32"/>
  <c r="H29"/>
  <c r="H8"/>
  <c r="H9"/>
  <c r="H10"/>
  <c r="H11"/>
  <c r="H12"/>
  <c r="H13"/>
  <c r="H14"/>
  <c r="H15"/>
  <c r="H16"/>
  <c r="H17"/>
  <c r="H18"/>
  <c r="H19"/>
  <c r="H21"/>
  <c r="H22"/>
  <c r="H23"/>
  <c r="H24"/>
  <c r="H25"/>
  <c r="H26"/>
  <c r="H27"/>
  <c r="H7"/>
  <c r="C65"/>
  <c r="D65"/>
  <c r="E65"/>
  <c r="B65"/>
  <c r="C60"/>
  <c r="D60"/>
  <c r="E60"/>
  <c r="B60"/>
  <c r="I50"/>
  <c r="K50"/>
  <c r="G50"/>
  <c r="C50"/>
  <c r="D50"/>
  <c r="E50"/>
  <c r="B50"/>
  <c r="I30"/>
  <c r="K30"/>
  <c r="C30"/>
  <c r="D30"/>
  <c r="E30"/>
  <c r="F50"/>
  <c r="F60"/>
  <c r="F65"/>
  <c r="B66" l="1"/>
  <c r="D66"/>
  <c r="G66"/>
  <c r="L30"/>
  <c r="M30"/>
  <c r="C66"/>
  <c r="E66"/>
  <c r="H50"/>
  <c r="J50"/>
  <c r="L50"/>
  <c r="K66"/>
  <c r="H30"/>
  <c r="I66"/>
  <c r="J30"/>
  <c r="M50"/>
  <c r="F66"/>
  <c r="L66" l="1"/>
  <c r="J66"/>
  <c r="H66"/>
  <c r="M66"/>
</calcChain>
</file>

<file path=xl/sharedStrings.xml><?xml version="1.0" encoding="utf-8"?>
<sst xmlns="http://schemas.openxmlformats.org/spreadsheetml/2006/main" count="76" uniqueCount="76">
  <si>
    <t>Наименование</t>
  </si>
  <si>
    <t>Субвенции</t>
  </si>
  <si>
    <t>Итого субвенций</t>
  </si>
  <si>
    <t>Субсидии</t>
  </si>
  <si>
    <t>Итого субсидий</t>
  </si>
  <si>
    <t>Иные межбюджетные трансферты</t>
  </si>
  <si>
    <t>Итого иных межбюджетных трансфертов</t>
  </si>
  <si>
    <t>ВСЕГО</t>
  </si>
  <si>
    <t>Поступили остатки прошлых лет</t>
  </si>
  <si>
    <t>Возвращены в округ остатки</t>
  </si>
  <si>
    <t>Уточненный план департамента финансов</t>
  </si>
  <si>
    <t>Фактически поступило в бюджет</t>
  </si>
  <si>
    <t>Израсходовано</t>
  </si>
  <si>
    <t xml:space="preserve">Первоначальный план </t>
  </si>
  <si>
    <t>Изменение плановых назначений               (гр.7-гр.6)</t>
  </si>
  <si>
    <t>Отклонение (гр.9+гр.5-гр.11)</t>
  </si>
  <si>
    <t>(рубли)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</si>
  <si>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</si>
  <si>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</si>
  <si>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</si>
  <si>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</si>
  <si>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Итого дотаций</t>
  </si>
  <si>
    <t xml:space="preserve">Остаток на 01.01.2018 г. 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</si>
  <si>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</si>
  <si>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</t>
  </si>
  <si>
    <t>Субвенции на осуществление полномочий по образованию и организация деятельности комиссий по делам несовершеннолетних и защите их прав</t>
  </si>
  <si>
    <t xml:space="preserve">Субвенции на осуществление деятельности по опеке и попечительству </t>
  </si>
  <si>
    <t xml:space="preserve">Субвенции на осуществление полномочий по государственной регистрации актов гражданского состояния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</si>
  <si>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</si>
  <si>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 xml:space="preserve">Субвенции на осуществление полномочий по созданию и обеспечению деятельности административных комиссий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</si>
  <si>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 </t>
  </si>
  <si>
    <t>Субвенции на организацию и обеспечение отдыха и оздоровления детей, в том числе в этнической среде</t>
  </si>
  <si>
    <t xml:space="preserve"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</t>
  </si>
  <si>
    <t>Субвенции на поддержку растениеводства, переработки и реализации продукции растениеводства</t>
  </si>
  <si>
    <t>Субвенции на поддержку животноводства, переработки и реализации продукции животноводства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</si>
  <si>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</si>
  <si>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</si>
  <si>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 xml:space="preserve">Субвенции на реализацию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 общих для человека и животных" 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</si>
  <si>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</si>
  <si>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</si>
  <si>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 xml:space="preserve">Субвенции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</si>
  <si>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</si>
  <si>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</si>
  <si>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</si>
  <si>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</si>
  <si>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</t>
  </si>
  <si>
    <t>Субсидии на развитие сферы культуры в муниципальных образованиях автономного округа</t>
  </si>
  <si>
    <t>Субсидии на поддержку отрасли культуры</t>
  </si>
  <si>
    <t>Субсидии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</si>
  <si>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Субсидии на софинансирование расходов муниципальных образований по обеспечению учащихся спортивных школ спортивным оборудованием, экипировкой и инвентарем, проведению тренировочных сборов и участию в соревнования</t>
  </si>
  <si>
    <t>Субсидии на реализацию полномочий в области строительства, градостроительной деятельности и жилищных отношений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</si>
  <si>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</si>
  <si>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Обеспечение жильем молодых семей в рамках федеральной целевой программы "Жилище" на 2015–2020 годы</t>
  </si>
  <si>
    <t>Субсидии на создание условий для деятельности народных дружин</t>
  </si>
  <si>
    <t>Субсидии на компенсацию выпадающих доходов ресурсоснабжающим организациям,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</si>
  <si>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>Субсидии на реализацию полномочий в сфере жилищно-коммунального комплекса</t>
  </si>
  <si>
    <t>Субсидии, за исключением субсидий на софинансирование  капитальных вложений в объекты государственной (муниципальной) собственности (формирование комфортной городской среды)</t>
  </si>
  <si>
    <t xml:space="preserve">Иные межбюджетные трансферты на реализацию мероприятий содействие трудоустройству граждан </t>
  </si>
  <si>
    <t>Иные межбюджетные трансферты на организацию проведения единого государственного экзамена</t>
  </si>
  <si>
    <t>Дотации на выравнивание бюджетной обеспеченности</t>
  </si>
  <si>
    <t xml:space="preserve">Дотации на поддержку мер по обеспечению сбалансированности местных бюджетов </t>
  </si>
  <si>
    <t xml:space="preserve">Субвенции на 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в рамках подпрограммы "Обеспечение мерами государственной поддержки по улучшению жилищных условий отдельных категорий граждан" </t>
  </si>
  <si>
    <t>Субсидии на поддержку малого и среднего предпринимательства</t>
  </si>
  <si>
    <t>Иные межбюджетные трансферты на реализацию наказов избирателей депутатам Думы Ханты-Мансийского автономного округа-Югры</t>
  </si>
  <si>
    <t>Субсидия на поддержку творческой деятельности и укрепления материально-технической базы муниципальных театров,  муниципальных театров в населенных пунктах с численностью населения до 300 тысяч человек</t>
  </si>
  <si>
    <t>Субсидии на реконструкцию, расширение, модернизацию, строительство и капитальный ремонт объектов коммунального комплекса</t>
  </si>
  <si>
    <t>Сумма вос-становлен-ного неис-пользован-ного остат-ка прошлых лет</t>
  </si>
  <si>
    <t>Не поступило      (гр.7-гр.9)</t>
  </si>
  <si>
    <t xml:space="preserve">Иные межбюджетные трансферты на реализацию мероприятий по поддержке российского казачества </t>
  </si>
  <si>
    <t>Иные межбюджетные трансферты на реализацию проекта, признанного победителем конкурсного отбора образовательных организаций имеющих статус региональных инновационных площадок</t>
  </si>
  <si>
    <t>Иные межбюджетные трансферты, передаваемые для компенсации дополнительных расходов, возникших в результате решений, принятых органами власти другого уровня (из резервного фонда Правительства Ханты-Мансийского автономного округа - Югры на повышение минимального размера оплаты труда)</t>
  </si>
  <si>
    <t>5. Информация об использовании субвенций, субсидий и межбюджетных трансфертов за  9 месяцев 2018 года</t>
  </si>
  <si>
    <t>Остаток на 01.10.2018 г.  (гр.2+гр.3.-гр.4+гр.5+гр.9-гр.11)</t>
  </si>
  <si>
    <t xml:space="preserve">Иные межбюджетные трансферты победителям конкурсов муниципальных образований Ханты-Мансийского автономного округа - Югры в области создания условий для деятельности народных дружин </t>
  </si>
  <si>
    <t>Иные межбюджетные трансферты на оказание государственной поддержки системы дополнительного образования детей</t>
  </si>
  <si>
    <t>Дотации на поощрение достижений и высоких показателей качества организаций и осуществления бюджетного процесса в городских округах и муниципальных районах Ханты-Мансийского автономного округа - югры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</si>
</sst>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43" fontId="21" fillId="0" borderId="0" applyFont="0" applyFill="0" applyBorder="0" applyAlignment="0" applyProtection="0"/>
  </cellStyleXfs>
  <cellXfs count="52">
    <xf numFmtId="0" fontId="0" fillId="0" borderId="0" xfId="0"/>
    <xf numFmtId="4" fontId="24" fillId="0" borderId="0" xfId="0" applyNumberFormat="1" applyFont="1" applyFill="1" applyAlignment="1">
      <alignment horizontal="center" vertical="center"/>
    </xf>
    <xf numFmtId="0" fontId="24" fillId="0" borderId="0" xfId="0" applyFont="1" applyFill="1"/>
    <xf numFmtId="4" fontId="20" fillId="0" borderId="14" xfId="37" applyNumberFormat="1" applyFont="1" applyFill="1" applyBorder="1" applyAlignment="1">
      <alignment horizontal="center" vertical="center" wrapText="1"/>
    </xf>
    <xf numFmtId="4" fontId="20" fillId="0" borderId="14" xfId="0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3" fontId="23" fillId="0" borderId="10" xfId="37" applyNumberFormat="1" applyFont="1" applyFill="1" applyBorder="1" applyAlignment="1">
      <alignment horizontal="center" vertical="center" wrapText="1"/>
    </xf>
    <xf numFmtId="3" fontId="23" fillId="0" borderId="10" xfId="37" applyNumberFormat="1" applyFont="1" applyFill="1" applyBorder="1" applyAlignment="1">
      <alignment horizontal="center" vertical="center"/>
    </xf>
    <xf numFmtId="3" fontId="20" fillId="0" borderId="10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center" vertical="center"/>
    </xf>
    <xf numFmtId="0" fontId="23" fillId="0" borderId="0" xfId="0" applyFont="1" applyFill="1"/>
    <xf numFmtId="0" fontId="24" fillId="0" borderId="0" xfId="0" applyNumberFormat="1" applyFont="1" applyFill="1" applyAlignment="1">
      <alignment horizontal="left" wrapText="1"/>
    </xf>
    <xf numFmtId="0" fontId="20" fillId="0" borderId="14" xfId="37" applyNumberFormat="1" applyFont="1" applyFill="1" applyBorder="1" applyAlignment="1">
      <alignment horizontal="center" vertical="center" wrapText="1"/>
    </xf>
    <xf numFmtId="0" fontId="23" fillId="0" borderId="10" xfId="37" applyNumberFormat="1" applyFont="1" applyFill="1" applyBorder="1" applyAlignment="1">
      <alignment horizontal="center" vertical="distributed" wrapText="1"/>
    </xf>
    <xf numFmtId="4" fontId="22" fillId="24" borderId="10" xfId="37" applyNumberFormat="1" applyFont="1" applyFill="1" applyBorder="1" applyAlignment="1">
      <alignment horizontal="center" vertical="center"/>
    </xf>
    <xf numFmtId="4" fontId="22" fillId="24" borderId="10" xfId="37" applyNumberFormat="1" applyFont="1" applyFill="1" applyBorder="1" applyAlignment="1">
      <alignment horizontal="center" vertical="center" wrapText="1"/>
    </xf>
    <xf numFmtId="0" fontId="22" fillId="24" borderId="10" xfId="37" applyNumberFormat="1" applyFont="1" applyFill="1" applyBorder="1" applyAlignment="1">
      <alignment horizontal="left" vertical="top" wrapText="1"/>
    </xf>
    <xf numFmtId="4" fontId="22" fillId="24" borderId="10" xfId="0" applyNumberFormat="1" applyFont="1" applyFill="1" applyBorder="1" applyAlignment="1">
      <alignment horizontal="center" vertical="center"/>
    </xf>
    <xf numFmtId="0" fontId="22" fillId="24" borderId="0" xfId="0" applyFont="1" applyFill="1"/>
    <xf numFmtId="4" fontId="24" fillId="24" borderId="0" xfId="0" applyNumberFormat="1" applyFont="1" applyFill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3" fontId="20" fillId="24" borderId="10" xfId="0" applyNumberFormat="1" applyFont="1" applyFill="1" applyBorder="1" applyAlignment="1">
      <alignment horizontal="center" vertical="center"/>
    </xf>
    <xf numFmtId="4" fontId="23" fillId="24" borderId="10" xfId="0" applyNumberFormat="1" applyFont="1" applyFill="1" applyBorder="1" applyAlignment="1">
      <alignment horizontal="center" vertical="center"/>
    </xf>
    <xf numFmtId="4" fontId="23" fillId="24" borderId="10" xfId="37" applyNumberFormat="1" applyFont="1" applyFill="1" applyBorder="1" applyAlignment="1">
      <alignment horizontal="center" vertical="center"/>
    </xf>
    <xf numFmtId="4" fontId="23" fillId="24" borderId="10" xfId="37" applyNumberFormat="1" applyFont="1" applyFill="1" applyBorder="1" applyAlignment="1">
      <alignment horizontal="center" vertical="center" wrapText="1"/>
    </xf>
    <xf numFmtId="4" fontId="23" fillId="24" borderId="10" xfId="45" applyNumberFormat="1" applyFont="1" applyFill="1" applyBorder="1" applyAlignment="1">
      <alignment horizontal="center" vertical="center"/>
    </xf>
    <xf numFmtId="0" fontId="25" fillId="24" borderId="10" xfId="0" applyNumberFormat="1" applyFont="1" applyFill="1" applyBorder="1" applyAlignment="1">
      <alignment horizontal="left" vertical="center" wrapText="1"/>
    </xf>
    <xf numFmtId="4" fontId="23" fillId="24" borderId="10" xfId="0" applyNumberFormat="1" applyFont="1" applyFill="1" applyBorder="1" applyAlignment="1">
      <alignment horizontal="center" vertical="center" wrapText="1"/>
    </xf>
    <xf numFmtId="0" fontId="23" fillId="24" borderId="0" xfId="0" applyFont="1" applyFill="1" applyAlignment="1">
      <alignment horizontal="center" vertical="center"/>
    </xf>
    <xf numFmtId="0" fontId="23" fillId="24" borderId="0" xfId="0" applyFont="1" applyFill="1"/>
    <xf numFmtId="0" fontId="23" fillId="24" borderId="10" xfId="0" applyNumberFormat="1" applyFont="1" applyFill="1" applyBorder="1" applyAlignment="1">
      <alignment horizontal="left" vertical="center" wrapText="1"/>
    </xf>
    <xf numFmtId="4" fontId="23" fillId="24" borderId="10" xfId="44" applyNumberFormat="1" applyFont="1" applyFill="1" applyBorder="1" applyAlignment="1">
      <alignment horizontal="center" vertical="center" wrapText="1"/>
    </xf>
    <xf numFmtId="0" fontId="26" fillId="24" borderId="10" xfId="0" applyNumberFormat="1" applyFont="1" applyFill="1" applyBorder="1" applyAlignment="1">
      <alignment horizontal="left" vertical="center" wrapText="1"/>
    </xf>
    <xf numFmtId="0" fontId="22" fillId="24" borderId="10" xfId="37" applyNumberFormat="1" applyFont="1" applyFill="1" applyBorder="1" applyAlignment="1">
      <alignment horizontal="left" vertical="distributed" wrapText="1"/>
    </xf>
    <xf numFmtId="0" fontId="23" fillId="24" borderId="0" xfId="0" applyFont="1" applyFill="1" applyAlignment="1">
      <alignment vertical="center"/>
    </xf>
    <xf numFmtId="0" fontId="23" fillId="24" borderId="10" xfId="37" applyNumberFormat="1" applyFont="1" applyFill="1" applyBorder="1" applyAlignment="1">
      <alignment horizontal="left" vertical="center" wrapText="1"/>
    </xf>
    <xf numFmtId="0" fontId="22" fillId="24" borderId="10" xfId="0" applyNumberFormat="1" applyFont="1" applyFill="1" applyBorder="1" applyAlignment="1">
      <alignment horizontal="left" vertical="distributed" wrapText="1"/>
    </xf>
    <xf numFmtId="3" fontId="22" fillId="0" borderId="11" xfId="37" applyNumberFormat="1" applyFont="1" applyFill="1" applyBorder="1" applyAlignment="1">
      <alignment horizontal="center" vertical="center" wrapText="1"/>
    </xf>
    <xf numFmtId="3" fontId="22" fillId="0" borderId="12" xfId="37" applyNumberFormat="1" applyFont="1" applyFill="1" applyBorder="1" applyAlignment="1">
      <alignment horizontal="center" vertical="center" wrapText="1"/>
    </xf>
    <xf numFmtId="3" fontId="22" fillId="0" borderId="13" xfId="37" applyNumberFormat="1" applyFont="1" applyFill="1" applyBorder="1" applyAlignment="1">
      <alignment horizontal="center" vertical="center" wrapText="1"/>
    </xf>
    <xf numFmtId="3" fontId="22" fillId="24" borderId="11" xfId="37" applyNumberFormat="1" applyFont="1" applyFill="1" applyBorder="1" applyAlignment="1">
      <alignment horizontal="center"/>
    </xf>
    <xf numFmtId="3" fontId="22" fillId="24" borderId="12" xfId="37" applyNumberFormat="1" applyFont="1" applyFill="1" applyBorder="1" applyAlignment="1">
      <alignment horizontal="center"/>
    </xf>
    <xf numFmtId="3" fontId="22" fillId="24" borderId="13" xfId="37" applyNumberFormat="1" applyFont="1" applyFill="1" applyBorder="1" applyAlignment="1">
      <alignment horizontal="center"/>
    </xf>
    <xf numFmtId="3" fontId="22" fillId="24" borderId="11" xfId="37" applyNumberFormat="1" applyFont="1" applyFill="1" applyBorder="1" applyAlignment="1">
      <alignment horizontal="center" vertical="justify" wrapText="1"/>
    </xf>
    <xf numFmtId="3" fontId="22" fillId="24" borderId="12" xfId="37" applyNumberFormat="1" applyFont="1" applyFill="1" applyBorder="1" applyAlignment="1">
      <alignment horizontal="center" vertical="justify" wrapText="1"/>
    </xf>
    <xf numFmtId="3" fontId="22" fillId="24" borderId="13" xfId="37" applyNumberFormat="1" applyFont="1" applyFill="1" applyBorder="1" applyAlignment="1">
      <alignment horizontal="center" vertical="justify" wrapText="1"/>
    </xf>
    <xf numFmtId="3" fontId="22" fillId="24" borderId="11" xfId="37" applyNumberFormat="1" applyFont="1" applyFill="1" applyBorder="1" applyAlignment="1">
      <alignment horizontal="center" vertical="center" wrapText="1"/>
    </xf>
    <xf numFmtId="3" fontId="22" fillId="24" borderId="12" xfId="37" applyNumberFormat="1" applyFont="1" applyFill="1" applyBorder="1" applyAlignment="1">
      <alignment horizontal="center" vertical="center" wrapText="1"/>
    </xf>
    <xf numFmtId="3" fontId="22" fillId="24" borderId="13" xfId="3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5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3436AC90E950A2E932A75C8C68332DE14FC1CB5BA391DD66AFFC38DD7E7DF9C75223A361CE59B90D3B90Fd4W3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66"/>
  <sheetViews>
    <sheetView tabSelected="1" zoomScale="80" zoomScaleNormal="80"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B66" sqref="B66"/>
    </sheetView>
  </sheetViews>
  <sheetFormatPr defaultRowHeight="15"/>
  <cols>
    <col min="1" max="1" width="59.140625" style="12" customWidth="1"/>
    <col min="2" max="2" width="15.5703125" style="1" customWidth="1"/>
    <col min="3" max="3" width="14.28515625" style="1" customWidth="1"/>
    <col min="4" max="4" width="16" style="1" customWidth="1"/>
    <col min="5" max="5" width="14" style="1" customWidth="1"/>
    <col min="6" max="6" width="20.5703125" style="1" customWidth="1"/>
    <col min="7" max="7" width="18.85546875" style="20" customWidth="1"/>
    <col min="8" max="8" width="21.7109375" style="1" customWidth="1"/>
    <col min="9" max="9" width="18.5703125" style="20" customWidth="1"/>
    <col min="10" max="10" width="18.5703125" style="1" customWidth="1"/>
    <col min="11" max="11" width="18.5703125" style="20" customWidth="1"/>
    <col min="12" max="12" width="19.42578125" style="1" customWidth="1"/>
    <col min="13" max="13" width="18.42578125" style="1" customWidth="1"/>
    <col min="14" max="16384" width="9.140625" style="2"/>
  </cols>
  <sheetData>
    <row r="2" spans="1:13">
      <c r="A2" s="50" t="s">
        <v>71</v>
      </c>
      <c r="B2" s="50"/>
      <c r="C2" s="50"/>
      <c r="D2" s="50"/>
      <c r="E2" s="50"/>
      <c r="F2" s="50"/>
      <c r="G2" s="50"/>
      <c r="H2" s="50"/>
      <c r="I2" s="51"/>
      <c r="J2" s="51"/>
      <c r="K2" s="51"/>
      <c r="L2" s="51"/>
      <c r="M2" s="51"/>
    </row>
    <row r="3" spans="1:13">
      <c r="M3" s="1" t="s">
        <v>16</v>
      </c>
    </row>
    <row r="4" spans="1:13" s="6" customFormat="1" ht="90">
      <c r="A4" s="13" t="s">
        <v>0</v>
      </c>
      <c r="B4" s="3" t="s">
        <v>22</v>
      </c>
      <c r="C4" s="3" t="s">
        <v>8</v>
      </c>
      <c r="D4" s="3" t="s">
        <v>9</v>
      </c>
      <c r="E4" s="3" t="s">
        <v>66</v>
      </c>
      <c r="F4" s="4" t="s">
        <v>13</v>
      </c>
      <c r="G4" s="21" t="s">
        <v>10</v>
      </c>
      <c r="H4" s="5" t="s">
        <v>14</v>
      </c>
      <c r="I4" s="21" t="s">
        <v>11</v>
      </c>
      <c r="J4" s="5" t="s">
        <v>67</v>
      </c>
      <c r="K4" s="21" t="s">
        <v>12</v>
      </c>
      <c r="L4" s="5" t="s">
        <v>15</v>
      </c>
      <c r="M4" s="5" t="s">
        <v>72</v>
      </c>
    </row>
    <row r="5" spans="1:13" s="10" customFormat="1" ht="15.75">
      <c r="A5" s="14">
        <v>1</v>
      </c>
      <c r="B5" s="7">
        <v>2</v>
      </c>
      <c r="C5" s="7">
        <v>3</v>
      </c>
      <c r="D5" s="7">
        <v>4</v>
      </c>
      <c r="E5" s="7">
        <v>5</v>
      </c>
      <c r="F5" s="8">
        <v>6</v>
      </c>
      <c r="G5" s="22">
        <v>7</v>
      </c>
      <c r="H5" s="9">
        <v>8</v>
      </c>
      <c r="I5" s="22">
        <v>9</v>
      </c>
      <c r="J5" s="9">
        <v>10</v>
      </c>
      <c r="K5" s="22">
        <v>11</v>
      </c>
      <c r="L5" s="9">
        <v>12</v>
      </c>
      <c r="M5" s="9">
        <v>13</v>
      </c>
    </row>
    <row r="6" spans="1:13" s="11" customFormat="1" ht="15.75">
      <c r="A6" s="38" t="s">
        <v>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</row>
    <row r="7" spans="1:13" s="29" customFormat="1" ht="110.25">
      <c r="A7" s="27" t="s">
        <v>17</v>
      </c>
      <c r="B7" s="28"/>
      <c r="C7" s="28"/>
      <c r="D7" s="28"/>
      <c r="E7" s="28"/>
      <c r="F7" s="23">
        <v>87833000</v>
      </c>
      <c r="G7" s="23">
        <f>84543000+3290000</f>
        <v>87833000</v>
      </c>
      <c r="H7" s="23">
        <f>G7-F7</f>
        <v>0</v>
      </c>
      <c r="I7" s="23">
        <v>60298000</v>
      </c>
      <c r="J7" s="23">
        <f>G7-I7</f>
        <v>27535000</v>
      </c>
      <c r="K7" s="23">
        <v>49124278.5</v>
      </c>
      <c r="L7" s="23">
        <f>I7+E7-K7</f>
        <v>11173721.5</v>
      </c>
      <c r="M7" s="23">
        <f>B7+C7-D7+E7+I7-K7</f>
        <v>11173721.5</v>
      </c>
    </row>
    <row r="8" spans="1:13" s="30" customFormat="1" ht="63">
      <c r="A8" s="27" t="s">
        <v>23</v>
      </c>
      <c r="B8" s="28">
        <v>10804066.85</v>
      </c>
      <c r="C8" s="28"/>
      <c r="D8" s="28">
        <v>10804066.85</v>
      </c>
      <c r="E8" s="28"/>
      <c r="F8" s="23">
        <v>43755500</v>
      </c>
      <c r="G8" s="23">
        <v>49308928.850000001</v>
      </c>
      <c r="H8" s="23">
        <f t="shared" ref="H8:H28" si="0">G8-F8</f>
        <v>5553428.8500000015</v>
      </c>
      <c r="I8" s="23">
        <v>1750221</v>
      </c>
      <c r="J8" s="23">
        <f t="shared" ref="J8:J29" si="1">G8-I8</f>
        <v>47558707.850000001</v>
      </c>
      <c r="K8" s="23">
        <v>1750221</v>
      </c>
      <c r="L8" s="23">
        <f t="shared" ref="L8:L27" si="2">I8+E8-K8</f>
        <v>0</v>
      </c>
      <c r="M8" s="23">
        <f t="shared" ref="M8:M29" si="3">B8+C8-D8+E8+I8-K8</f>
        <v>0</v>
      </c>
    </row>
    <row r="9" spans="1:13" s="30" customFormat="1" ht="78.75">
      <c r="A9" s="27" t="s">
        <v>24</v>
      </c>
      <c r="B9" s="28">
        <v>15.7</v>
      </c>
      <c r="C9" s="28"/>
      <c r="D9" s="28">
        <v>15.7</v>
      </c>
      <c r="E9" s="28"/>
      <c r="F9" s="23">
        <v>2465043300</v>
      </c>
      <c r="G9" s="23">
        <f>2476233200+67482600</f>
        <v>2543715800</v>
      </c>
      <c r="H9" s="23">
        <f t="shared" si="0"/>
        <v>78672500</v>
      </c>
      <c r="I9" s="23">
        <v>1834406850</v>
      </c>
      <c r="J9" s="23">
        <f t="shared" si="1"/>
        <v>709308950</v>
      </c>
      <c r="K9" s="23">
        <v>1636158718.1099999</v>
      </c>
      <c r="L9" s="23">
        <f t="shared" si="2"/>
        <v>198248131.8900001</v>
      </c>
      <c r="M9" s="23">
        <f t="shared" si="3"/>
        <v>198248131.8900001</v>
      </c>
    </row>
    <row r="10" spans="1:13" s="30" customFormat="1" ht="47.25">
      <c r="A10" s="27" t="s">
        <v>25</v>
      </c>
      <c r="B10" s="28"/>
      <c r="C10" s="28"/>
      <c r="D10" s="28"/>
      <c r="E10" s="28"/>
      <c r="F10" s="23">
        <v>9576600</v>
      </c>
      <c r="G10" s="23">
        <v>9934800</v>
      </c>
      <c r="H10" s="23">
        <f t="shared" si="0"/>
        <v>358200</v>
      </c>
      <c r="I10" s="23">
        <v>7144800</v>
      </c>
      <c r="J10" s="23">
        <f t="shared" si="1"/>
        <v>2790000</v>
      </c>
      <c r="K10" s="23">
        <v>7142083.0300000003</v>
      </c>
      <c r="L10" s="23">
        <f t="shared" si="2"/>
        <v>2716.9699999997392</v>
      </c>
      <c r="M10" s="23">
        <f t="shared" si="3"/>
        <v>2716.9699999997392</v>
      </c>
    </row>
    <row r="11" spans="1:13" s="30" customFormat="1" ht="31.5">
      <c r="A11" s="27" t="s">
        <v>26</v>
      </c>
      <c r="B11" s="25">
        <v>117280.12</v>
      </c>
      <c r="C11" s="25">
        <v>584.87</v>
      </c>
      <c r="D11" s="25">
        <f>B11+C11</f>
        <v>117864.98999999999</v>
      </c>
      <c r="E11" s="25"/>
      <c r="F11" s="23">
        <v>32088300</v>
      </c>
      <c r="G11" s="24">
        <v>33227300</v>
      </c>
      <c r="H11" s="23">
        <f t="shared" si="0"/>
        <v>1139000</v>
      </c>
      <c r="I11" s="23">
        <v>25509470</v>
      </c>
      <c r="J11" s="23">
        <f t="shared" si="1"/>
        <v>7717830</v>
      </c>
      <c r="K11" s="23">
        <v>23586512.52</v>
      </c>
      <c r="L11" s="23">
        <f>I11+E11-K11</f>
        <v>1922957.4800000004</v>
      </c>
      <c r="M11" s="23">
        <f>B11+C11-D11+E11+I11-K11</f>
        <v>1922957.4800000004</v>
      </c>
    </row>
    <row r="12" spans="1:13" s="30" customFormat="1" ht="47.25">
      <c r="A12" s="31" t="s">
        <v>27</v>
      </c>
      <c r="B12" s="28"/>
      <c r="C12" s="28">
        <f>102615.93+8648.97</f>
        <v>111264.9</v>
      </c>
      <c r="D12" s="28">
        <v>111264.9</v>
      </c>
      <c r="E12" s="28"/>
      <c r="F12" s="23">
        <v>10685800</v>
      </c>
      <c r="G12" s="23">
        <f>9926800+1187000</f>
        <v>11113800</v>
      </c>
      <c r="H12" s="23">
        <f t="shared" si="0"/>
        <v>428000</v>
      </c>
      <c r="I12" s="23">
        <f>8205767.92+630000</f>
        <v>8835767.9199999999</v>
      </c>
      <c r="J12" s="23">
        <f t="shared" si="1"/>
        <v>2278032.08</v>
      </c>
      <c r="K12" s="23">
        <f>8164479.89+597005.2</f>
        <v>8761485.0899999999</v>
      </c>
      <c r="L12" s="23">
        <f t="shared" si="2"/>
        <v>74282.830000000075</v>
      </c>
      <c r="M12" s="23">
        <f t="shared" si="3"/>
        <v>74282.830000000075</v>
      </c>
    </row>
    <row r="13" spans="1:13" s="30" customFormat="1" ht="78.75">
      <c r="A13" s="27" t="s">
        <v>28</v>
      </c>
      <c r="B13" s="28"/>
      <c r="C13" s="28"/>
      <c r="D13" s="28"/>
      <c r="E13" s="28"/>
      <c r="F13" s="23">
        <v>22998000</v>
      </c>
      <c r="G13" s="23">
        <v>22998000</v>
      </c>
      <c r="H13" s="23">
        <f t="shared" si="0"/>
        <v>0</v>
      </c>
      <c r="I13" s="23">
        <v>15412795</v>
      </c>
      <c r="J13" s="23">
        <f t="shared" si="1"/>
        <v>7585205</v>
      </c>
      <c r="K13" s="23">
        <v>14994351.210000001</v>
      </c>
      <c r="L13" s="23">
        <f t="shared" si="2"/>
        <v>418443.78999999911</v>
      </c>
      <c r="M13" s="23">
        <f t="shared" si="3"/>
        <v>418443.78999999911</v>
      </c>
    </row>
    <row r="14" spans="1:13" s="30" customFormat="1" ht="47.25">
      <c r="A14" s="27" t="s">
        <v>29</v>
      </c>
      <c r="B14" s="28"/>
      <c r="C14" s="28"/>
      <c r="D14" s="28"/>
      <c r="E14" s="28"/>
      <c r="F14" s="23">
        <v>4413500</v>
      </c>
      <c r="G14" s="23">
        <v>4578900</v>
      </c>
      <c r="H14" s="23">
        <f t="shared" si="0"/>
        <v>165400</v>
      </c>
      <c r="I14" s="23">
        <v>3398000</v>
      </c>
      <c r="J14" s="23">
        <f t="shared" si="1"/>
        <v>1180900</v>
      </c>
      <c r="K14" s="23">
        <v>3393308.84</v>
      </c>
      <c r="L14" s="23">
        <f t="shared" si="2"/>
        <v>4691.160000000149</v>
      </c>
      <c r="M14" s="23">
        <f t="shared" si="3"/>
        <v>4691.160000000149</v>
      </c>
    </row>
    <row r="15" spans="1:13" s="30" customFormat="1" ht="63">
      <c r="A15" s="27" t="s">
        <v>19</v>
      </c>
      <c r="B15" s="28"/>
      <c r="C15" s="28"/>
      <c r="D15" s="28"/>
      <c r="E15" s="28"/>
      <c r="F15" s="23">
        <v>78751000</v>
      </c>
      <c r="G15" s="23">
        <v>78910000</v>
      </c>
      <c r="H15" s="23">
        <f t="shared" si="0"/>
        <v>159000</v>
      </c>
      <c r="I15" s="23">
        <v>58525000</v>
      </c>
      <c r="J15" s="23">
        <f t="shared" si="1"/>
        <v>20385000</v>
      </c>
      <c r="K15" s="23">
        <v>50644997.359999999</v>
      </c>
      <c r="L15" s="23">
        <f t="shared" si="2"/>
        <v>7880002.6400000006</v>
      </c>
      <c r="M15" s="23">
        <f t="shared" si="3"/>
        <v>7880002.6400000006</v>
      </c>
    </row>
    <row r="16" spans="1:13" s="30" customFormat="1" ht="63">
      <c r="A16" s="27" t="s">
        <v>30</v>
      </c>
      <c r="B16" s="28"/>
      <c r="C16" s="28"/>
      <c r="D16" s="28"/>
      <c r="E16" s="28"/>
      <c r="F16" s="23">
        <v>521400</v>
      </c>
      <c r="G16" s="24">
        <v>521400</v>
      </c>
      <c r="H16" s="23">
        <f t="shared" si="0"/>
        <v>0</v>
      </c>
      <c r="I16" s="23">
        <v>521400</v>
      </c>
      <c r="J16" s="23">
        <f t="shared" si="1"/>
        <v>0</v>
      </c>
      <c r="K16" s="23">
        <v>521400</v>
      </c>
      <c r="L16" s="23">
        <f t="shared" si="2"/>
        <v>0</v>
      </c>
      <c r="M16" s="23">
        <f t="shared" si="3"/>
        <v>0</v>
      </c>
    </row>
    <row r="17" spans="1:13" s="30" customFormat="1" ht="31.5">
      <c r="A17" s="27" t="s">
        <v>31</v>
      </c>
      <c r="B17" s="28"/>
      <c r="C17" s="28"/>
      <c r="D17" s="28"/>
      <c r="E17" s="28"/>
      <c r="F17" s="23">
        <v>22267000</v>
      </c>
      <c r="G17" s="24">
        <v>22290000</v>
      </c>
      <c r="H17" s="23">
        <f t="shared" si="0"/>
        <v>23000</v>
      </c>
      <c r="I17" s="23">
        <v>21400000</v>
      </c>
      <c r="J17" s="23">
        <f t="shared" si="1"/>
        <v>890000</v>
      </c>
      <c r="K17" s="23">
        <v>20663612.329999998</v>
      </c>
      <c r="L17" s="23">
        <f t="shared" si="2"/>
        <v>736387.67000000179</v>
      </c>
      <c r="M17" s="23">
        <f t="shared" si="3"/>
        <v>736387.67000000179</v>
      </c>
    </row>
    <row r="18" spans="1:13" s="30" customFormat="1" ht="63">
      <c r="A18" s="27" t="s">
        <v>32</v>
      </c>
      <c r="B18" s="25"/>
      <c r="C18" s="25"/>
      <c r="D18" s="25"/>
      <c r="E18" s="25"/>
      <c r="F18" s="23">
        <v>391000</v>
      </c>
      <c r="G18" s="23">
        <v>0</v>
      </c>
      <c r="H18" s="23">
        <f t="shared" si="0"/>
        <v>-391000</v>
      </c>
      <c r="I18" s="23"/>
      <c r="J18" s="23">
        <f t="shared" si="1"/>
        <v>0</v>
      </c>
      <c r="K18" s="23"/>
      <c r="L18" s="23">
        <f t="shared" si="2"/>
        <v>0</v>
      </c>
      <c r="M18" s="23">
        <f t="shared" si="3"/>
        <v>0</v>
      </c>
    </row>
    <row r="19" spans="1:13" s="30" customFormat="1" ht="63">
      <c r="A19" s="27" t="s">
        <v>20</v>
      </c>
      <c r="B19" s="32"/>
      <c r="C19" s="32"/>
      <c r="D19" s="32"/>
      <c r="E19" s="32"/>
      <c r="F19" s="23">
        <v>3639800</v>
      </c>
      <c r="G19" s="23">
        <v>3777700</v>
      </c>
      <c r="H19" s="23">
        <f t="shared" si="0"/>
        <v>137900</v>
      </c>
      <c r="I19" s="23">
        <v>2775900</v>
      </c>
      <c r="J19" s="23">
        <f t="shared" si="1"/>
        <v>1001800</v>
      </c>
      <c r="K19" s="23">
        <v>2755149.79</v>
      </c>
      <c r="L19" s="23">
        <f t="shared" si="2"/>
        <v>20750.209999999963</v>
      </c>
      <c r="M19" s="23">
        <f t="shared" si="3"/>
        <v>20750.209999999963</v>
      </c>
    </row>
    <row r="20" spans="1:13" s="30" customFormat="1" ht="31.5">
      <c r="A20" s="27" t="s">
        <v>33</v>
      </c>
      <c r="B20" s="28"/>
      <c r="C20" s="28"/>
      <c r="D20" s="28"/>
      <c r="E20" s="28"/>
      <c r="F20" s="23">
        <v>20000</v>
      </c>
      <c r="G20" s="23">
        <v>33000</v>
      </c>
      <c r="H20" s="23">
        <f t="shared" si="0"/>
        <v>13000</v>
      </c>
      <c r="I20" s="23">
        <v>0</v>
      </c>
      <c r="J20" s="23">
        <f t="shared" si="1"/>
        <v>33000</v>
      </c>
      <c r="K20" s="23">
        <v>0</v>
      </c>
      <c r="L20" s="23">
        <f t="shared" si="2"/>
        <v>0</v>
      </c>
      <c r="M20" s="23">
        <f t="shared" si="3"/>
        <v>0</v>
      </c>
    </row>
    <row r="21" spans="1:13" s="30" customFormat="1" ht="31.5">
      <c r="A21" s="27" t="s">
        <v>34</v>
      </c>
      <c r="B21" s="32"/>
      <c r="C21" s="32"/>
      <c r="D21" s="32"/>
      <c r="E21" s="32"/>
      <c r="F21" s="23">
        <v>28300000</v>
      </c>
      <c r="G21" s="24">
        <v>39000000</v>
      </c>
      <c r="H21" s="23">
        <f t="shared" si="0"/>
        <v>10700000</v>
      </c>
      <c r="I21" s="23">
        <v>26467756</v>
      </c>
      <c r="J21" s="23">
        <f t="shared" si="1"/>
        <v>12532244</v>
      </c>
      <c r="K21" s="23">
        <v>20659000</v>
      </c>
      <c r="L21" s="23">
        <f t="shared" si="2"/>
        <v>5808756</v>
      </c>
      <c r="M21" s="23">
        <f t="shared" si="3"/>
        <v>5808756</v>
      </c>
    </row>
    <row r="22" spans="1:13" s="30" customFormat="1" ht="126">
      <c r="A22" s="27" t="s">
        <v>35</v>
      </c>
      <c r="B22" s="32"/>
      <c r="C22" s="32"/>
      <c r="D22" s="32"/>
      <c r="E22" s="32"/>
      <c r="F22" s="23">
        <v>32000</v>
      </c>
      <c r="G22" s="23">
        <v>29700</v>
      </c>
      <c r="H22" s="23">
        <f t="shared" si="0"/>
        <v>-2300</v>
      </c>
      <c r="I22" s="23">
        <v>16000</v>
      </c>
      <c r="J22" s="23">
        <f t="shared" si="1"/>
        <v>13700</v>
      </c>
      <c r="K22" s="23"/>
      <c r="L22" s="23">
        <f t="shared" si="2"/>
        <v>16000</v>
      </c>
      <c r="M22" s="23">
        <f t="shared" si="3"/>
        <v>16000</v>
      </c>
    </row>
    <row r="23" spans="1:13" s="30" customFormat="1" ht="47.25">
      <c r="A23" s="27" t="s">
        <v>36</v>
      </c>
      <c r="B23" s="32"/>
      <c r="C23" s="32"/>
      <c r="D23" s="32"/>
      <c r="E23" s="32"/>
      <c r="F23" s="23">
        <v>7566800</v>
      </c>
      <c r="G23" s="23">
        <v>7566800</v>
      </c>
      <c r="H23" s="23">
        <f t="shared" si="0"/>
        <v>0</v>
      </c>
      <c r="I23" s="23">
        <v>3754769.02</v>
      </c>
      <c r="J23" s="23">
        <f t="shared" si="1"/>
        <v>3812030.98</v>
      </c>
      <c r="K23" s="23">
        <v>3381799.33</v>
      </c>
      <c r="L23" s="23">
        <f t="shared" si="2"/>
        <v>372969.68999999994</v>
      </c>
      <c r="M23" s="23">
        <f t="shared" si="3"/>
        <v>372969.68999999994</v>
      </c>
    </row>
    <row r="24" spans="1:13" s="30" customFormat="1" ht="63">
      <c r="A24" s="27" t="s">
        <v>37</v>
      </c>
      <c r="B24" s="32"/>
      <c r="C24" s="32"/>
      <c r="D24" s="32"/>
      <c r="E24" s="32"/>
      <c r="F24" s="23">
        <v>918000</v>
      </c>
      <c r="G24" s="23">
        <v>926000</v>
      </c>
      <c r="H24" s="23">
        <f t="shared" si="0"/>
        <v>8000</v>
      </c>
      <c r="I24" s="23">
        <v>918000</v>
      </c>
      <c r="J24" s="23">
        <f t="shared" si="1"/>
        <v>8000</v>
      </c>
      <c r="K24" s="23">
        <v>0</v>
      </c>
      <c r="L24" s="23">
        <f t="shared" si="2"/>
        <v>918000</v>
      </c>
      <c r="M24" s="23">
        <f t="shared" si="3"/>
        <v>918000</v>
      </c>
    </row>
    <row r="25" spans="1:13" s="30" customFormat="1" ht="63">
      <c r="A25" s="33" t="s">
        <v>38</v>
      </c>
      <c r="B25" s="32"/>
      <c r="C25" s="32"/>
      <c r="D25" s="32"/>
      <c r="E25" s="32"/>
      <c r="F25" s="23">
        <v>197500</v>
      </c>
      <c r="G25" s="23">
        <v>205000</v>
      </c>
      <c r="H25" s="23">
        <f t="shared" si="0"/>
        <v>7500</v>
      </c>
      <c r="I25" s="23">
        <v>197500</v>
      </c>
      <c r="J25" s="23">
        <f t="shared" si="1"/>
        <v>7500</v>
      </c>
      <c r="K25" s="23"/>
      <c r="L25" s="23">
        <f t="shared" si="2"/>
        <v>197500</v>
      </c>
      <c r="M25" s="23">
        <f t="shared" si="3"/>
        <v>197500</v>
      </c>
    </row>
    <row r="26" spans="1:13" s="30" customFormat="1" ht="126">
      <c r="A26" s="27" t="s">
        <v>39</v>
      </c>
      <c r="B26" s="32"/>
      <c r="C26" s="32"/>
      <c r="D26" s="32"/>
      <c r="E26" s="32"/>
      <c r="F26" s="23">
        <v>636400</v>
      </c>
      <c r="G26" s="23">
        <v>509800</v>
      </c>
      <c r="H26" s="23">
        <f t="shared" si="0"/>
        <v>-126600</v>
      </c>
      <c r="I26" s="23">
        <v>389006.16</v>
      </c>
      <c r="J26" s="23">
        <f t="shared" si="1"/>
        <v>120793.84000000003</v>
      </c>
      <c r="K26" s="23">
        <v>251651.51</v>
      </c>
      <c r="L26" s="23">
        <f t="shared" si="2"/>
        <v>137354.64999999997</v>
      </c>
      <c r="M26" s="23">
        <f t="shared" si="3"/>
        <v>137354.64999999997</v>
      </c>
    </row>
    <row r="27" spans="1:13" s="30" customFormat="1" ht="78.75">
      <c r="A27" s="27" t="s">
        <v>40</v>
      </c>
      <c r="B27" s="32"/>
      <c r="C27" s="32"/>
      <c r="D27" s="32"/>
      <c r="E27" s="32"/>
      <c r="F27" s="23">
        <v>11738300</v>
      </c>
      <c r="G27" s="24">
        <f>7134500+1495200+824000</f>
        <v>9453700</v>
      </c>
      <c r="H27" s="23">
        <f t="shared" si="0"/>
        <v>-2284600</v>
      </c>
      <c r="I27" s="23">
        <v>840276</v>
      </c>
      <c r="J27" s="23">
        <f t="shared" si="1"/>
        <v>8613424</v>
      </c>
      <c r="K27" s="23">
        <v>840276</v>
      </c>
      <c r="L27" s="23">
        <f t="shared" si="2"/>
        <v>0</v>
      </c>
      <c r="M27" s="23">
        <f t="shared" si="3"/>
        <v>0</v>
      </c>
    </row>
    <row r="28" spans="1:13" s="30" customFormat="1" ht="110.25">
      <c r="A28" s="27" t="s">
        <v>61</v>
      </c>
      <c r="B28" s="32"/>
      <c r="C28" s="32"/>
      <c r="D28" s="32"/>
      <c r="E28" s="32"/>
      <c r="F28" s="23"/>
      <c r="G28" s="24">
        <v>3361100</v>
      </c>
      <c r="H28" s="23">
        <f t="shared" si="0"/>
        <v>3361100</v>
      </c>
      <c r="I28" s="23"/>
      <c r="J28" s="23">
        <f t="shared" si="1"/>
        <v>3361100</v>
      </c>
      <c r="K28" s="23"/>
      <c r="L28" s="23">
        <f t="shared" ref="L28" si="4">I28+E28-K28</f>
        <v>0</v>
      </c>
      <c r="M28" s="23">
        <f t="shared" ref="M28" si="5">B28+C28-D28+E28+I28-K28</f>
        <v>0</v>
      </c>
    </row>
    <row r="29" spans="1:13" s="30" customFormat="1" ht="63">
      <c r="A29" s="27" t="s">
        <v>41</v>
      </c>
      <c r="B29" s="32"/>
      <c r="C29" s="32"/>
      <c r="D29" s="32"/>
      <c r="E29" s="32"/>
      <c r="F29" s="24">
        <v>97400</v>
      </c>
      <c r="G29" s="24">
        <v>97400</v>
      </c>
      <c r="H29" s="23">
        <f>G29-F29</f>
        <v>0</v>
      </c>
      <c r="I29" s="23">
        <v>0</v>
      </c>
      <c r="J29" s="23">
        <f t="shared" si="1"/>
        <v>97400</v>
      </c>
      <c r="K29" s="23">
        <v>0</v>
      </c>
      <c r="L29" s="23">
        <f>I29+E29-K29</f>
        <v>0</v>
      </c>
      <c r="M29" s="23">
        <f t="shared" si="3"/>
        <v>0</v>
      </c>
    </row>
    <row r="30" spans="1:13" s="19" customFormat="1" ht="15.75">
      <c r="A30" s="34" t="s">
        <v>2</v>
      </c>
      <c r="B30" s="15">
        <f t="shared" ref="B30:M30" si="6">SUM(B7:B29)</f>
        <v>10921362.669999998</v>
      </c>
      <c r="C30" s="15">
        <f t="shared" si="6"/>
        <v>111849.76999999999</v>
      </c>
      <c r="D30" s="15">
        <f t="shared" si="6"/>
        <v>11033212.439999999</v>
      </c>
      <c r="E30" s="15">
        <f t="shared" si="6"/>
        <v>0</v>
      </c>
      <c r="F30" s="15">
        <f t="shared" si="6"/>
        <v>2831470600</v>
      </c>
      <c r="G30" s="15">
        <f t="shared" si="6"/>
        <v>2929392128.8499999</v>
      </c>
      <c r="H30" s="15">
        <f t="shared" si="6"/>
        <v>97921528.849999994</v>
      </c>
      <c r="I30" s="15">
        <f t="shared" si="6"/>
        <v>2072561511.1000001</v>
      </c>
      <c r="J30" s="15">
        <f t="shared" si="6"/>
        <v>856830617.75000012</v>
      </c>
      <c r="K30" s="15">
        <f t="shared" si="6"/>
        <v>1844628844.6199994</v>
      </c>
      <c r="L30" s="15">
        <f t="shared" si="6"/>
        <v>227932666.48000014</v>
      </c>
      <c r="M30" s="15">
        <f t="shared" si="6"/>
        <v>227932666.48000014</v>
      </c>
    </row>
    <row r="31" spans="1:13" s="30" customFormat="1" ht="15.75">
      <c r="A31" s="41" t="s">
        <v>3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3"/>
    </row>
    <row r="32" spans="1:13" s="30" customFormat="1" ht="47.25">
      <c r="A32" s="31" t="s">
        <v>42</v>
      </c>
      <c r="B32" s="25"/>
      <c r="C32" s="25"/>
      <c r="D32" s="25"/>
      <c r="E32" s="25"/>
      <c r="F32" s="25">
        <v>91720900</v>
      </c>
      <c r="G32" s="25">
        <v>77725300</v>
      </c>
      <c r="H32" s="23">
        <f>G32-F32</f>
        <v>-13995600</v>
      </c>
      <c r="I32" s="23"/>
      <c r="J32" s="23">
        <f t="shared" ref="J32:J49" si="7">G32-I32</f>
        <v>77725300</v>
      </c>
      <c r="K32" s="23"/>
      <c r="L32" s="23">
        <f t="shared" ref="L32" si="8">I32+E32-K32</f>
        <v>0</v>
      </c>
      <c r="M32" s="23">
        <f t="shared" ref="M32" si="9">B32+C32-D32+E32+I32-K32</f>
        <v>0</v>
      </c>
    </row>
    <row r="33" spans="1:13" s="30" customFormat="1" ht="126">
      <c r="A33" s="31" t="s">
        <v>43</v>
      </c>
      <c r="B33" s="25"/>
      <c r="C33" s="25"/>
      <c r="D33" s="25"/>
      <c r="E33" s="25"/>
      <c r="F33" s="25">
        <v>8640000</v>
      </c>
      <c r="G33" s="25">
        <v>9360000</v>
      </c>
      <c r="H33" s="23">
        <f>G33-F33</f>
        <v>720000</v>
      </c>
      <c r="I33" s="23">
        <v>6855000</v>
      </c>
      <c r="J33" s="23">
        <f t="shared" si="7"/>
        <v>2505000</v>
      </c>
      <c r="K33" s="23">
        <v>6855000</v>
      </c>
      <c r="L33" s="23">
        <f t="shared" ref="L33:L49" si="10">I33+E33-K33</f>
        <v>0</v>
      </c>
      <c r="M33" s="23">
        <f t="shared" ref="M33:M49" si="11">B33+C33-D33+E33+I33-K33</f>
        <v>0</v>
      </c>
    </row>
    <row r="34" spans="1:13" s="35" customFormat="1" ht="31.5">
      <c r="A34" s="31" t="s">
        <v>44</v>
      </c>
      <c r="B34" s="25"/>
      <c r="C34" s="25"/>
      <c r="D34" s="25"/>
      <c r="E34" s="25"/>
      <c r="F34" s="25">
        <v>76292500</v>
      </c>
      <c r="G34" s="23">
        <f>75468800+823700</f>
        <v>76292500</v>
      </c>
      <c r="H34" s="23">
        <f t="shared" ref="H34:H49" si="12">G34-F34</f>
        <v>0</v>
      </c>
      <c r="I34" s="23">
        <f>43524268.16+295944</f>
        <v>43820212.159999996</v>
      </c>
      <c r="J34" s="23">
        <f t="shared" si="7"/>
        <v>32472287.840000004</v>
      </c>
      <c r="K34" s="23">
        <v>36805140.460000001</v>
      </c>
      <c r="L34" s="23">
        <f t="shared" si="10"/>
        <v>7015071.6999999955</v>
      </c>
      <c r="M34" s="23">
        <f t="shared" si="11"/>
        <v>7015071.6999999955</v>
      </c>
    </row>
    <row r="35" spans="1:13" s="30" customFormat="1" ht="63">
      <c r="A35" s="31" t="s">
        <v>45</v>
      </c>
      <c r="B35" s="25"/>
      <c r="C35" s="25"/>
      <c r="D35" s="25"/>
      <c r="E35" s="25"/>
      <c r="F35" s="25">
        <v>11564100</v>
      </c>
      <c r="G35" s="25">
        <v>11564100</v>
      </c>
      <c r="H35" s="23">
        <f t="shared" si="12"/>
        <v>0</v>
      </c>
      <c r="I35" s="23">
        <v>11134155.16</v>
      </c>
      <c r="J35" s="23">
        <f t="shared" si="7"/>
        <v>429944.83999999985</v>
      </c>
      <c r="K35" s="23">
        <v>11134155.16</v>
      </c>
      <c r="L35" s="23">
        <f t="shared" si="10"/>
        <v>0</v>
      </c>
      <c r="M35" s="23">
        <f t="shared" si="11"/>
        <v>0</v>
      </c>
    </row>
    <row r="36" spans="1:13" s="30" customFormat="1" ht="31.5">
      <c r="A36" s="31" t="s">
        <v>46</v>
      </c>
      <c r="B36" s="25"/>
      <c r="C36" s="25"/>
      <c r="D36" s="25"/>
      <c r="E36" s="25"/>
      <c r="F36" s="25">
        <v>1392700</v>
      </c>
      <c r="G36" s="25">
        <v>1392662.61</v>
      </c>
      <c r="H36" s="23">
        <f t="shared" si="12"/>
        <v>-37.389999999897555</v>
      </c>
      <c r="I36" s="23">
        <f>1249249</f>
        <v>1249249</v>
      </c>
      <c r="J36" s="23">
        <f t="shared" si="7"/>
        <v>143413.6100000001</v>
      </c>
      <c r="K36" s="23">
        <f>277949+971300</f>
        <v>1249249</v>
      </c>
      <c r="L36" s="23">
        <f t="shared" si="10"/>
        <v>0</v>
      </c>
      <c r="M36" s="23">
        <f t="shared" si="11"/>
        <v>0</v>
      </c>
    </row>
    <row r="37" spans="1:13" s="30" customFormat="1" ht="15.75">
      <c r="A37" s="31" t="s">
        <v>47</v>
      </c>
      <c r="B37" s="25"/>
      <c r="C37" s="25"/>
      <c r="D37" s="25"/>
      <c r="E37" s="25"/>
      <c r="F37" s="25">
        <v>241300</v>
      </c>
      <c r="G37" s="26">
        <f>39700+201637.39</f>
        <v>241337.39</v>
      </c>
      <c r="H37" s="23">
        <f t="shared" si="12"/>
        <v>37.39000000001397</v>
      </c>
      <c r="I37" s="23">
        <f>6530.67+33169.43</f>
        <v>39700.1</v>
      </c>
      <c r="J37" s="23">
        <f t="shared" si="7"/>
        <v>201637.29</v>
      </c>
      <c r="K37" s="23">
        <f>33169.43+6530.67</f>
        <v>39700.1</v>
      </c>
      <c r="L37" s="23">
        <f t="shared" si="10"/>
        <v>0</v>
      </c>
      <c r="M37" s="23">
        <f t="shared" si="11"/>
        <v>0</v>
      </c>
    </row>
    <row r="38" spans="1:13" s="30" customFormat="1" ht="78.75">
      <c r="A38" s="31" t="s">
        <v>48</v>
      </c>
      <c r="B38" s="25"/>
      <c r="C38" s="25"/>
      <c r="D38" s="25"/>
      <c r="E38" s="25"/>
      <c r="F38" s="25">
        <f>114936600+32065800</f>
        <v>147002400</v>
      </c>
      <c r="G38" s="26">
        <f>155985400+40965500</f>
        <v>196950900</v>
      </c>
      <c r="H38" s="23">
        <f t="shared" si="12"/>
        <v>49948500</v>
      </c>
      <c r="I38" s="23">
        <f>78542306.06+26047600</f>
        <v>104589906.06</v>
      </c>
      <c r="J38" s="23">
        <f t="shared" si="7"/>
        <v>92360993.939999998</v>
      </c>
      <c r="K38" s="23">
        <f>78542306.06+26047600</f>
        <v>104589906.06</v>
      </c>
      <c r="L38" s="23">
        <f t="shared" si="10"/>
        <v>0</v>
      </c>
      <c r="M38" s="23">
        <f t="shared" si="11"/>
        <v>0</v>
      </c>
    </row>
    <row r="39" spans="1:13" s="30" customFormat="1" ht="78.75">
      <c r="A39" s="31" t="s">
        <v>49</v>
      </c>
      <c r="B39" s="25"/>
      <c r="C39" s="25"/>
      <c r="D39" s="25"/>
      <c r="E39" s="25"/>
      <c r="F39" s="25">
        <v>2798000</v>
      </c>
      <c r="G39" s="24">
        <v>2819000</v>
      </c>
      <c r="H39" s="23">
        <f t="shared" si="12"/>
        <v>21000</v>
      </c>
      <c r="I39" s="23">
        <v>2080099.98</v>
      </c>
      <c r="J39" s="23">
        <f t="shared" si="7"/>
        <v>738900.02</v>
      </c>
      <c r="K39" s="23">
        <v>2080000</v>
      </c>
      <c r="L39" s="23">
        <f t="shared" si="10"/>
        <v>99.979999999981374</v>
      </c>
      <c r="M39" s="23">
        <f t="shared" si="11"/>
        <v>99.979999999981374</v>
      </c>
    </row>
    <row r="40" spans="1:13" s="30" customFormat="1" ht="47.25">
      <c r="A40" s="31" t="s">
        <v>50</v>
      </c>
      <c r="B40" s="25"/>
      <c r="C40" s="25"/>
      <c r="D40" s="25"/>
      <c r="E40" s="25"/>
      <c r="F40" s="25">
        <v>83623200</v>
      </c>
      <c r="G40" s="25">
        <v>325055300</v>
      </c>
      <c r="H40" s="23">
        <f t="shared" si="12"/>
        <v>241432100</v>
      </c>
      <c r="I40" s="23">
        <v>52186677.240000002</v>
      </c>
      <c r="J40" s="23">
        <f t="shared" si="7"/>
        <v>272868622.75999999</v>
      </c>
      <c r="K40" s="23">
        <v>49728348.640000001</v>
      </c>
      <c r="L40" s="23">
        <f t="shared" si="10"/>
        <v>2458328.6000000015</v>
      </c>
      <c r="M40" s="23">
        <f t="shared" si="11"/>
        <v>2458328.6000000015</v>
      </c>
    </row>
    <row r="41" spans="1:13" s="30" customFormat="1" ht="47.25">
      <c r="A41" s="31" t="s">
        <v>51</v>
      </c>
      <c r="B41" s="25"/>
      <c r="C41" s="25"/>
      <c r="D41" s="25"/>
      <c r="E41" s="25"/>
      <c r="F41" s="25">
        <v>8431400</v>
      </c>
      <c r="G41" s="24"/>
      <c r="H41" s="23">
        <f t="shared" si="12"/>
        <v>-8431400</v>
      </c>
      <c r="I41" s="23"/>
      <c r="J41" s="23">
        <f t="shared" si="7"/>
        <v>0</v>
      </c>
      <c r="K41" s="23"/>
      <c r="L41" s="23">
        <f t="shared" si="10"/>
        <v>0</v>
      </c>
      <c r="M41" s="23">
        <f t="shared" si="11"/>
        <v>0</v>
      </c>
    </row>
    <row r="42" spans="1:13" s="30" customFormat="1" ht="47.25">
      <c r="A42" s="31" t="s">
        <v>52</v>
      </c>
      <c r="B42" s="25"/>
      <c r="C42" s="25"/>
      <c r="D42" s="25"/>
      <c r="E42" s="25"/>
      <c r="F42" s="25">
        <v>1426900</v>
      </c>
      <c r="G42" s="23">
        <f>179011+1138886</f>
        <v>1317897</v>
      </c>
      <c r="H42" s="23">
        <f t="shared" si="12"/>
        <v>-109003</v>
      </c>
      <c r="I42" s="23">
        <f>179010.97+1138886.03</f>
        <v>1317897</v>
      </c>
      <c r="J42" s="23">
        <f t="shared" si="7"/>
        <v>0</v>
      </c>
      <c r="K42" s="23">
        <f>179010.97+1138886.03</f>
        <v>1317897</v>
      </c>
      <c r="L42" s="23">
        <f t="shared" si="10"/>
        <v>0</v>
      </c>
      <c r="M42" s="23">
        <f t="shared" si="11"/>
        <v>0</v>
      </c>
    </row>
    <row r="43" spans="1:13" s="35" customFormat="1" ht="31.5">
      <c r="A43" s="31" t="s">
        <v>53</v>
      </c>
      <c r="B43" s="25"/>
      <c r="C43" s="25"/>
      <c r="D43" s="25"/>
      <c r="E43" s="25"/>
      <c r="F43" s="25">
        <v>92000</v>
      </c>
      <c r="G43" s="25">
        <v>92000</v>
      </c>
      <c r="H43" s="23">
        <f t="shared" si="12"/>
        <v>0</v>
      </c>
      <c r="I43" s="23">
        <v>52650</v>
      </c>
      <c r="J43" s="23">
        <f t="shared" si="7"/>
        <v>39350</v>
      </c>
      <c r="K43" s="23">
        <v>52650</v>
      </c>
      <c r="L43" s="23">
        <f t="shared" si="10"/>
        <v>0</v>
      </c>
      <c r="M43" s="23">
        <f t="shared" si="11"/>
        <v>0</v>
      </c>
    </row>
    <row r="44" spans="1:13" s="30" customFormat="1" ht="94.5">
      <c r="A44" s="31" t="s">
        <v>54</v>
      </c>
      <c r="B44" s="25"/>
      <c r="C44" s="25">
        <v>1505497.94</v>
      </c>
      <c r="D44" s="25">
        <v>1505497.94</v>
      </c>
      <c r="E44" s="25"/>
      <c r="F44" s="25">
        <v>49196300</v>
      </c>
      <c r="G44" s="24">
        <v>39581300</v>
      </c>
      <c r="H44" s="23">
        <f t="shared" si="12"/>
        <v>-9615000</v>
      </c>
      <c r="I44" s="23">
        <v>39580318.890000001</v>
      </c>
      <c r="J44" s="23">
        <f t="shared" si="7"/>
        <v>981.10999999940395</v>
      </c>
      <c r="K44" s="23">
        <v>39580318.890000001</v>
      </c>
      <c r="L44" s="23">
        <f t="shared" si="10"/>
        <v>0</v>
      </c>
      <c r="M44" s="23">
        <f t="shared" si="11"/>
        <v>0</v>
      </c>
    </row>
    <row r="45" spans="1:13" s="30" customFormat="1" ht="31.5">
      <c r="A45" s="31" t="s">
        <v>55</v>
      </c>
      <c r="B45" s="25"/>
      <c r="C45" s="25"/>
      <c r="D45" s="25"/>
      <c r="E45" s="25"/>
      <c r="F45" s="25">
        <v>50292900</v>
      </c>
      <c r="G45" s="25">
        <v>50292900</v>
      </c>
      <c r="H45" s="23">
        <f t="shared" si="12"/>
        <v>0</v>
      </c>
      <c r="I45" s="23"/>
      <c r="J45" s="23">
        <f t="shared" si="7"/>
        <v>50292900</v>
      </c>
      <c r="K45" s="23"/>
      <c r="L45" s="23">
        <f t="shared" si="10"/>
        <v>0</v>
      </c>
      <c r="M45" s="23">
        <f t="shared" si="11"/>
        <v>0</v>
      </c>
    </row>
    <row r="46" spans="1:13" s="30" customFormat="1" ht="47.25">
      <c r="A46" s="31" t="s">
        <v>65</v>
      </c>
      <c r="B46" s="25">
        <v>10780333.029999999</v>
      </c>
      <c r="C46" s="25"/>
      <c r="D46" s="25">
        <v>10780333.029999999</v>
      </c>
      <c r="E46" s="25"/>
      <c r="F46" s="25"/>
      <c r="G46" s="25"/>
      <c r="H46" s="23"/>
      <c r="I46" s="23"/>
      <c r="J46" s="23">
        <f t="shared" si="7"/>
        <v>0</v>
      </c>
      <c r="K46" s="23"/>
      <c r="L46" s="23"/>
      <c r="M46" s="23"/>
    </row>
    <row r="47" spans="1:13" s="30" customFormat="1" ht="78.75">
      <c r="A47" s="31" t="s">
        <v>64</v>
      </c>
      <c r="B47" s="25"/>
      <c r="C47" s="25"/>
      <c r="D47" s="25"/>
      <c r="E47" s="25"/>
      <c r="F47" s="25"/>
      <c r="G47" s="25">
        <f>300000+700000</f>
        <v>1000000</v>
      </c>
      <c r="H47" s="23">
        <f t="shared" si="12"/>
        <v>1000000</v>
      </c>
      <c r="I47" s="23">
        <f>89999.96+210000.02</f>
        <v>299999.98</v>
      </c>
      <c r="J47" s="23">
        <f t="shared" si="7"/>
        <v>700000.02</v>
      </c>
      <c r="K47" s="23">
        <f>89999.96+210000.02</f>
        <v>299999.98</v>
      </c>
      <c r="L47" s="23">
        <f t="shared" ref="L47" si="13">I47+E47-K47</f>
        <v>0</v>
      </c>
      <c r="M47" s="23">
        <f t="shared" ref="M47" si="14">B47+C47-D47+E47+I47-K47</f>
        <v>0</v>
      </c>
    </row>
    <row r="48" spans="1:13" s="30" customFormat="1" ht="31.5">
      <c r="A48" s="31" t="s">
        <v>62</v>
      </c>
      <c r="B48" s="25">
        <v>3683529.44</v>
      </c>
      <c r="C48" s="25"/>
      <c r="D48" s="25">
        <v>3683529.44</v>
      </c>
      <c r="E48" s="25"/>
      <c r="F48" s="25"/>
      <c r="G48" s="25">
        <v>6735000</v>
      </c>
      <c r="H48" s="23">
        <f t="shared" si="12"/>
        <v>6735000</v>
      </c>
      <c r="I48" s="23">
        <v>2227352.52</v>
      </c>
      <c r="J48" s="23">
        <f t="shared" si="7"/>
        <v>4507647.4800000004</v>
      </c>
      <c r="K48" s="23">
        <v>2227352.52</v>
      </c>
      <c r="L48" s="23">
        <f t="shared" ref="L48" si="15">I48+E48-K48</f>
        <v>0</v>
      </c>
      <c r="M48" s="23">
        <f t="shared" ref="M48" si="16">B48+C48-D48+E48+I48-K48</f>
        <v>0</v>
      </c>
    </row>
    <row r="49" spans="1:13" s="30" customFormat="1" ht="63">
      <c r="A49" s="31" t="s">
        <v>56</v>
      </c>
      <c r="B49" s="25"/>
      <c r="C49" s="25"/>
      <c r="D49" s="25"/>
      <c r="E49" s="25"/>
      <c r="F49" s="25">
        <v>30023000</v>
      </c>
      <c r="G49" s="23">
        <f>9006900+21016100</f>
        <v>30023000</v>
      </c>
      <c r="H49" s="23">
        <f t="shared" si="12"/>
        <v>0</v>
      </c>
      <c r="I49" s="23"/>
      <c r="J49" s="23">
        <f t="shared" si="7"/>
        <v>30023000</v>
      </c>
      <c r="K49" s="23"/>
      <c r="L49" s="23">
        <f t="shared" si="10"/>
        <v>0</v>
      </c>
      <c r="M49" s="23">
        <f t="shared" si="11"/>
        <v>0</v>
      </c>
    </row>
    <row r="50" spans="1:13" s="19" customFormat="1" ht="15.75">
      <c r="A50" s="34" t="s">
        <v>4</v>
      </c>
      <c r="B50" s="16">
        <f t="shared" ref="B50:M50" si="17">SUM(B32:B49)</f>
        <v>14463862.469999999</v>
      </c>
      <c r="C50" s="16">
        <f t="shared" si="17"/>
        <v>1505497.94</v>
      </c>
      <c r="D50" s="16">
        <f t="shared" si="17"/>
        <v>15969360.409999998</v>
      </c>
      <c r="E50" s="16">
        <f t="shared" si="17"/>
        <v>0</v>
      </c>
      <c r="F50" s="16">
        <f t="shared" si="17"/>
        <v>562737600</v>
      </c>
      <c r="G50" s="16">
        <f t="shared" si="17"/>
        <v>830443197</v>
      </c>
      <c r="H50" s="16">
        <f t="shared" si="17"/>
        <v>267705597</v>
      </c>
      <c r="I50" s="16">
        <f t="shared" si="17"/>
        <v>265433218.08999997</v>
      </c>
      <c r="J50" s="16">
        <f t="shared" si="17"/>
        <v>565009978.91000009</v>
      </c>
      <c r="K50" s="16">
        <f t="shared" si="17"/>
        <v>255959717.81</v>
      </c>
      <c r="L50" s="16">
        <f t="shared" si="17"/>
        <v>9473500.2799999975</v>
      </c>
      <c r="M50" s="16">
        <f t="shared" si="17"/>
        <v>9473500.2799999975</v>
      </c>
    </row>
    <row r="51" spans="1:13" s="30" customFormat="1" ht="15.75">
      <c r="A51" s="44" t="s">
        <v>5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6"/>
    </row>
    <row r="52" spans="1:13" s="30" customFormat="1" ht="31.5">
      <c r="A52" s="36" t="s">
        <v>57</v>
      </c>
      <c r="B52" s="25"/>
      <c r="C52" s="25"/>
      <c r="D52" s="25"/>
      <c r="E52" s="25"/>
      <c r="F52" s="25">
        <v>1897500</v>
      </c>
      <c r="G52" s="23">
        <v>2016464</v>
      </c>
      <c r="H52" s="23">
        <f t="shared" ref="H52:H60" si="18">G52-F52</f>
        <v>118964</v>
      </c>
      <c r="I52" s="23">
        <f>1465123.56+145380</f>
        <v>1610503.56</v>
      </c>
      <c r="J52" s="23">
        <f t="shared" ref="J52:J60" si="19">G52-I52</f>
        <v>405960.43999999994</v>
      </c>
      <c r="K52" s="23">
        <v>1610503.56</v>
      </c>
      <c r="L52" s="23">
        <f t="shared" ref="L52" si="20">I52+E52-K52</f>
        <v>0</v>
      </c>
      <c r="M52" s="23">
        <f t="shared" ref="M52" si="21">B52+C52-D52+E52+I52-K52</f>
        <v>0</v>
      </c>
    </row>
    <row r="53" spans="1:13" s="30" customFormat="1" ht="47.25">
      <c r="A53" s="36" t="s">
        <v>63</v>
      </c>
      <c r="B53" s="25"/>
      <c r="C53" s="25"/>
      <c r="D53" s="25"/>
      <c r="E53" s="25"/>
      <c r="F53" s="25"/>
      <c r="G53" s="23">
        <v>8121812</v>
      </c>
      <c r="H53" s="23">
        <f t="shared" si="18"/>
        <v>8121812</v>
      </c>
      <c r="I53" s="23">
        <v>8121812</v>
      </c>
      <c r="J53" s="23">
        <f t="shared" si="19"/>
        <v>0</v>
      </c>
      <c r="K53" s="23">
        <v>5114632.41</v>
      </c>
      <c r="L53" s="23">
        <f t="shared" ref="L53" si="22">I53+E53-K53</f>
        <v>3007179.59</v>
      </c>
      <c r="M53" s="23">
        <f t="shared" ref="M53" si="23">B53+C53-D53+E53+I53-K53</f>
        <v>3007179.59</v>
      </c>
    </row>
    <row r="54" spans="1:13" s="30" customFormat="1" ht="31.5">
      <c r="A54" s="36" t="s">
        <v>58</v>
      </c>
      <c r="B54" s="25"/>
      <c r="C54" s="25"/>
      <c r="D54" s="25"/>
      <c r="E54" s="25"/>
      <c r="F54" s="25">
        <v>325000</v>
      </c>
      <c r="G54" s="23">
        <v>162000</v>
      </c>
      <c r="H54" s="23">
        <f t="shared" si="18"/>
        <v>-163000</v>
      </c>
      <c r="I54" s="23">
        <v>162000</v>
      </c>
      <c r="J54" s="23">
        <f t="shared" si="19"/>
        <v>0</v>
      </c>
      <c r="K54" s="23">
        <v>162000</v>
      </c>
      <c r="L54" s="23">
        <f t="shared" ref="L54" si="24">I54+E54-K54</f>
        <v>0</v>
      </c>
      <c r="M54" s="23">
        <f t="shared" ref="M54" si="25">B54+C54-D54+E54+I54-K54</f>
        <v>0</v>
      </c>
    </row>
    <row r="55" spans="1:13" s="30" customFormat="1" ht="31.5">
      <c r="A55" s="36" t="s">
        <v>68</v>
      </c>
      <c r="B55" s="25"/>
      <c r="C55" s="25"/>
      <c r="D55" s="25"/>
      <c r="E55" s="25"/>
      <c r="F55" s="25"/>
      <c r="G55" s="23">
        <v>900000</v>
      </c>
      <c r="H55" s="23">
        <f t="shared" si="18"/>
        <v>900000</v>
      </c>
      <c r="I55" s="23">
        <v>900000</v>
      </c>
      <c r="J55" s="23">
        <f t="shared" si="19"/>
        <v>0</v>
      </c>
      <c r="K55" s="23">
        <v>735010</v>
      </c>
      <c r="L55" s="23">
        <f t="shared" ref="L55" si="26">I55+E55-K55</f>
        <v>164990</v>
      </c>
      <c r="M55" s="23">
        <f t="shared" ref="M55" si="27">B55+C55-D55+E55+I55-K55</f>
        <v>164990</v>
      </c>
    </row>
    <row r="56" spans="1:13" s="30" customFormat="1" ht="63">
      <c r="A56" s="36" t="s">
        <v>69</v>
      </c>
      <c r="B56" s="25"/>
      <c r="C56" s="25"/>
      <c r="D56" s="25"/>
      <c r="E56" s="25"/>
      <c r="F56" s="25"/>
      <c r="G56" s="23">
        <v>600000</v>
      </c>
      <c r="H56" s="23">
        <f t="shared" si="18"/>
        <v>600000</v>
      </c>
      <c r="I56" s="23">
        <v>600000</v>
      </c>
      <c r="J56" s="23">
        <f t="shared" si="19"/>
        <v>0</v>
      </c>
      <c r="K56" s="23">
        <v>534000</v>
      </c>
      <c r="L56" s="23">
        <f t="shared" ref="L56" si="28">I56+E56-K56</f>
        <v>66000</v>
      </c>
      <c r="M56" s="23">
        <f t="shared" ref="M56" si="29">B56+C56-D56+E56+I56-K56</f>
        <v>66000</v>
      </c>
    </row>
    <row r="57" spans="1:13" s="30" customFormat="1" ht="94.5">
      <c r="A57" s="36" t="s">
        <v>70</v>
      </c>
      <c r="B57" s="25"/>
      <c r="C57" s="25"/>
      <c r="D57" s="25"/>
      <c r="E57" s="25"/>
      <c r="F57" s="25"/>
      <c r="G57" s="23">
        <v>29480300</v>
      </c>
      <c r="H57" s="23">
        <f t="shared" si="18"/>
        <v>29480300</v>
      </c>
      <c r="I57" s="23">
        <v>22110300</v>
      </c>
      <c r="J57" s="23">
        <f t="shared" si="19"/>
        <v>7370000</v>
      </c>
      <c r="K57" s="23">
        <v>17498769.77</v>
      </c>
      <c r="L57" s="23">
        <f t="shared" ref="L57:L59" si="30">I57+E57-K57</f>
        <v>4611530.2300000004</v>
      </c>
      <c r="M57" s="23">
        <f t="shared" ref="M57:M59" si="31">B57+C57-D57+E57+I57-K57</f>
        <v>4611530.2300000004</v>
      </c>
    </row>
    <row r="58" spans="1:13" s="30" customFormat="1" ht="63">
      <c r="A58" s="36" t="s">
        <v>73</v>
      </c>
      <c r="B58" s="25"/>
      <c r="C58" s="25"/>
      <c r="D58" s="25"/>
      <c r="E58" s="25"/>
      <c r="F58" s="25"/>
      <c r="G58" s="23">
        <v>80000</v>
      </c>
      <c r="H58" s="23">
        <f t="shared" si="18"/>
        <v>80000</v>
      </c>
      <c r="I58" s="23">
        <v>80000</v>
      </c>
      <c r="J58" s="23">
        <f t="shared" si="19"/>
        <v>0</v>
      </c>
      <c r="K58" s="23">
        <v>80000</v>
      </c>
      <c r="L58" s="23">
        <f t="shared" si="30"/>
        <v>0</v>
      </c>
      <c r="M58" s="23">
        <f t="shared" si="31"/>
        <v>0</v>
      </c>
    </row>
    <row r="59" spans="1:13" s="30" customFormat="1" ht="47.25">
      <c r="A59" s="36" t="s">
        <v>74</v>
      </c>
      <c r="B59" s="25"/>
      <c r="C59" s="25"/>
      <c r="D59" s="25"/>
      <c r="E59" s="25"/>
      <c r="F59" s="25"/>
      <c r="G59" s="23">
        <v>815900</v>
      </c>
      <c r="H59" s="23">
        <f t="shared" si="18"/>
        <v>815900</v>
      </c>
      <c r="I59" s="23">
        <v>815900</v>
      </c>
      <c r="J59" s="23">
        <f t="shared" si="19"/>
        <v>0</v>
      </c>
      <c r="K59" s="23">
        <v>784300</v>
      </c>
      <c r="L59" s="23">
        <f t="shared" si="30"/>
        <v>31600</v>
      </c>
      <c r="M59" s="23">
        <f t="shared" si="31"/>
        <v>31600</v>
      </c>
    </row>
    <row r="60" spans="1:13" s="19" customFormat="1" ht="15.75">
      <c r="A60" s="17" t="s">
        <v>6</v>
      </c>
      <c r="B60" s="16">
        <f>SUM(B51:B54)</f>
        <v>0</v>
      </c>
      <c r="C60" s="16">
        <f>SUM(C51:C54)</f>
        <v>0</v>
      </c>
      <c r="D60" s="16">
        <f>SUM(D51:D54)</f>
        <v>0</v>
      </c>
      <c r="E60" s="16">
        <f>SUM(E51:E54)</f>
        <v>0</v>
      </c>
      <c r="F60" s="16">
        <f>SUM(F51:F54)</f>
        <v>2222500</v>
      </c>
      <c r="G60" s="16">
        <f>SUM(G52:G59)</f>
        <v>42176476</v>
      </c>
      <c r="H60" s="18">
        <f t="shared" si="18"/>
        <v>39953976</v>
      </c>
      <c r="I60" s="16">
        <f t="shared" ref="I60:K60" si="32">SUM(I52:I59)</f>
        <v>34400515.560000002</v>
      </c>
      <c r="J60" s="18">
        <f t="shared" si="19"/>
        <v>7775960.4399999976</v>
      </c>
      <c r="K60" s="16">
        <f t="shared" si="32"/>
        <v>26519215.740000002</v>
      </c>
      <c r="L60" s="18">
        <f t="shared" ref="L60" si="33">I60+E60-K60</f>
        <v>7881299.8200000003</v>
      </c>
      <c r="M60" s="18">
        <f t="shared" ref="M60" si="34">B60+C60-D60+E60+I60-K60</f>
        <v>7881299.8200000003</v>
      </c>
    </row>
    <row r="61" spans="1:13" s="19" customFormat="1" ht="15.75">
      <c r="A61" s="47" t="s">
        <v>18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9"/>
    </row>
    <row r="62" spans="1:13" s="30" customFormat="1" ht="15.75">
      <c r="A62" s="33" t="s">
        <v>59</v>
      </c>
      <c r="B62" s="25"/>
      <c r="C62" s="25"/>
      <c r="D62" s="25"/>
      <c r="E62" s="25"/>
      <c r="F62" s="25">
        <v>723109300</v>
      </c>
      <c r="G62" s="23">
        <f>503384800+219724500</f>
        <v>723109300</v>
      </c>
      <c r="H62" s="23">
        <f t="shared" ref="H62:H65" si="35">G62-F62</f>
        <v>0</v>
      </c>
      <c r="I62" s="23">
        <f>402708000+175779900</f>
        <v>578487900</v>
      </c>
      <c r="J62" s="23">
        <f t="shared" ref="J62:J65" si="36">G62-I62</f>
        <v>144621400</v>
      </c>
      <c r="K62" s="23">
        <f>402708000+175779900</f>
        <v>578487900</v>
      </c>
      <c r="L62" s="23">
        <f t="shared" ref="L62" si="37">I62+E62-K62</f>
        <v>0</v>
      </c>
      <c r="M62" s="23">
        <f t="shared" ref="M62" si="38">B62+C62-D62+E62+I62-K62</f>
        <v>0</v>
      </c>
    </row>
    <row r="63" spans="1:13" s="30" customFormat="1" ht="31.5">
      <c r="A63" s="33" t="s">
        <v>60</v>
      </c>
      <c r="B63" s="25"/>
      <c r="C63" s="25"/>
      <c r="D63" s="25"/>
      <c r="E63" s="25"/>
      <c r="F63" s="25">
        <v>34469200</v>
      </c>
      <c r="G63" s="25">
        <v>34469200</v>
      </c>
      <c r="H63" s="23">
        <f t="shared" si="35"/>
        <v>0</v>
      </c>
      <c r="I63" s="23">
        <v>27575100</v>
      </c>
      <c r="J63" s="23">
        <f t="shared" si="36"/>
        <v>6894100</v>
      </c>
      <c r="K63" s="23">
        <v>27575100</v>
      </c>
      <c r="L63" s="23">
        <f t="shared" ref="L63" si="39">I63+E63-K63</f>
        <v>0</v>
      </c>
      <c r="M63" s="23">
        <f t="shared" ref="M63" si="40">B63+C63-D63+E63+I63-K63</f>
        <v>0</v>
      </c>
    </row>
    <row r="64" spans="1:13" s="30" customFormat="1" ht="78.75">
      <c r="A64" s="33" t="s">
        <v>75</v>
      </c>
      <c r="B64" s="25"/>
      <c r="C64" s="25"/>
      <c r="D64" s="25"/>
      <c r="E64" s="25"/>
      <c r="F64" s="25"/>
      <c r="G64" s="25">
        <v>20000000</v>
      </c>
      <c r="H64" s="23">
        <f t="shared" si="35"/>
        <v>20000000</v>
      </c>
      <c r="I64" s="23">
        <v>20000000</v>
      </c>
      <c r="J64" s="23">
        <f t="shared" si="36"/>
        <v>0</v>
      </c>
      <c r="K64" s="23">
        <v>20000000</v>
      </c>
      <c r="L64" s="23">
        <f t="shared" ref="L64" si="41">I64+E64-K64</f>
        <v>0</v>
      </c>
      <c r="M64" s="23">
        <f t="shared" ref="M64" si="42">B64+C64-D64+E64+I64-K64</f>
        <v>0</v>
      </c>
    </row>
    <row r="65" spans="1:13" s="19" customFormat="1" ht="15.75">
      <c r="A65" s="34" t="s">
        <v>21</v>
      </c>
      <c r="B65" s="16">
        <f t="shared" ref="B65:F65" si="43">SUM(B62:B63)</f>
        <v>0</v>
      </c>
      <c r="C65" s="16">
        <f t="shared" si="43"/>
        <v>0</v>
      </c>
      <c r="D65" s="16">
        <f t="shared" si="43"/>
        <v>0</v>
      </c>
      <c r="E65" s="16">
        <f t="shared" si="43"/>
        <v>0</v>
      </c>
      <c r="F65" s="16">
        <f t="shared" si="43"/>
        <v>757578500</v>
      </c>
      <c r="G65" s="16">
        <f>SUM(G62:G64)</f>
        <v>777578500</v>
      </c>
      <c r="H65" s="18">
        <f t="shared" si="35"/>
        <v>20000000</v>
      </c>
      <c r="I65" s="16">
        <f t="shared" ref="I65:K65" si="44">SUM(I62:I64)</f>
        <v>626063000</v>
      </c>
      <c r="J65" s="18">
        <f t="shared" si="36"/>
        <v>151515500</v>
      </c>
      <c r="K65" s="16">
        <f t="shared" si="44"/>
        <v>626063000</v>
      </c>
      <c r="L65" s="18">
        <f t="shared" ref="L65" si="45">I65+E65-K65</f>
        <v>0</v>
      </c>
      <c r="M65" s="18">
        <f t="shared" ref="M65" si="46">B65+C65-D65+E65+I65-K65</f>
        <v>0</v>
      </c>
    </row>
    <row r="66" spans="1:13" s="19" customFormat="1" ht="15.75">
      <c r="A66" s="37" t="s">
        <v>7</v>
      </c>
      <c r="B66" s="18">
        <f t="shared" ref="B66:M66" si="47">B30+B50+B60+B65</f>
        <v>25385225.139999997</v>
      </c>
      <c r="C66" s="18">
        <f t="shared" si="47"/>
        <v>1617347.71</v>
      </c>
      <c r="D66" s="18">
        <f t="shared" si="47"/>
        <v>27002572.849999998</v>
      </c>
      <c r="E66" s="18">
        <f t="shared" si="47"/>
        <v>0</v>
      </c>
      <c r="F66" s="18">
        <f t="shared" si="47"/>
        <v>4154009200</v>
      </c>
      <c r="G66" s="18">
        <f t="shared" si="47"/>
        <v>4579590301.8500004</v>
      </c>
      <c r="H66" s="18">
        <f t="shared" si="47"/>
        <v>425581101.85000002</v>
      </c>
      <c r="I66" s="18">
        <f t="shared" si="47"/>
        <v>2998458244.75</v>
      </c>
      <c r="J66" s="18">
        <f t="shared" si="47"/>
        <v>1581132057.1000004</v>
      </c>
      <c r="K66" s="18">
        <f t="shared" si="47"/>
        <v>2753170778.1699991</v>
      </c>
      <c r="L66" s="18">
        <f>L30+L50+L60+L65</f>
        <v>245287466.58000013</v>
      </c>
      <c r="M66" s="18">
        <f t="shared" si="47"/>
        <v>245287466.58000013</v>
      </c>
    </row>
  </sheetData>
  <autoFilter ref="A5:M66"/>
  <mergeCells count="5">
    <mergeCell ref="A6:M6"/>
    <mergeCell ref="A31:M31"/>
    <mergeCell ref="A51:M51"/>
    <mergeCell ref="A61:M61"/>
    <mergeCell ref="A2:M2"/>
  </mergeCells>
  <hyperlinks>
    <hyperlink ref="A19" r:id="rId1" display="consultantplus://offline/ref=53436AC90E950A2E932A75C8C68332DE14FC1CB5BA391DD66AFFC38DD7E7DF9C75223A361CE59B90D3B90Fd4W3K"/>
  </hyperlinks>
  <pageMargins left="0.39370078740157483" right="0.39370078740157483" top="0.98425196850393704" bottom="0.39370078740157483" header="0.31496062992125984" footer="0.31496062992125984"/>
  <pageSetup paperSize="9" scale="50" fitToWidth="0" fitToHeight="0" orientation="landscape" verticalDpi="0" r:id="rId2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2018-11-09T05:33:29Z</cp:lastPrinted>
  <dcterms:created xsi:type="dcterms:W3CDTF">2013-11-25T11:49:42Z</dcterms:created>
  <dcterms:modified xsi:type="dcterms:W3CDTF">2018-11-09T05:33:30Z</dcterms:modified>
</cp:coreProperties>
</file>