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300" windowWidth="15570" windowHeight="1138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программы!$A$4:$I$132</definedName>
    <definedName name="_xlnm.Print_Titles" localSheetId="0">программы!$3:$4</definedName>
  </definedNames>
  <calcPr calcId="125725"/>
</workbook>
</file>

<file path=xl/calcChain.xml><?xml version="1.0" encoding="utf-8"?>
<calcChain xmlns="http://schemas.openxmlformats.org/spreadsheetml/2006/main">
  <c r="I7" i="4"/>
  <c r="I8"/>
  <c r="H9"/>
  <c r="I9"/>
  <c r="I11"/>
  <c r="I13"/>
  <c r="I15"/>
  <c r="I17"/>
  <c r="I20"/>
  <c r="H22"/>
  <c r="I22"/>
  <c r="H23"/>
  <c r="I23"/>
  <c r="H24"/>
  <c r="I24"/>
  <c r="H26"/>
  <c r="I26"/>
  <c r="H27"/>
  <c r="I27"/>
  <c r="I28"/>
  <c r="I31"/>
  <c r="I32"/>
  <c r="I34"/>
  <c r="H37"/>
  <c r="I37"/>
  <c r="I38"/>
  <c r="I40"/>
  <c r="H41"/>
  <c r="I41"/>
  <c r="I44"/>
  <c r="I46"/>
  <c r="H47"/>
  <c r="I47"/>
  <c r="I48"/>
  <c r="I51"/>
  <c r="I52"/>
  <c r="I55"/>
  <c r="I56"/>
  <c r="H58"/>
  <c r="I58"/>
  <c r="I59"/>
  <c r="H61"/>
  <c r="I61"/>
  <c r="H62"/>
  <c r="I62"/>
  <c r="H63"/>
  <c r="I63"/>
  <c r="I64"/>
  <c r="I65"/>
  <c r="I67"/>
  <c r="I68"/>
  <c r="H69"/>
  <c r="I69"/>
  <c r="H70"/>
  <c r="I70"/>
  <c r="H71"/>
  <c r="I71"/>
  <c r="I72"/>
  <c r="H74"/>
  <c r="I74"/>
  <c r="I75"/>
  <c r="I77"/>
  <c r="I80"/>
  <c r="I81"/>
  <c r="I82"/>
  <c r="I84"/>
  <c r="H87"/>
  <c r="I87"/>
  <c r="I88"/>
  <c r="H90"/>
  <c r="I90"/>
  <c r="H91"/>
  <c r="I91"/>
  <c r="H92"/>
  <c r="I92"/>
  <c r="H93"/>
  <c r="I93"/>
  <c r="H94"/>
  <c r="I94"/>
  <c r="I95"/>
  <c r="H96"/>
  <c r="I96"/>
  <c r="I99"/>
  <c r="I101"/>
  <c r="I102"/>
  <c r="H104"/>
  <c r="I104"/>
  <c r="I106"/>
  <c r="H107"/>
  <c r="I107"/>
  <c r="H110"/>
  <c r="I110"/>
  <c r="I112"/>
  <c r="H113"/>
  <c r="I113"/>
  <c r="I116"/>
  <c r="I120"/>
  <c r="I122"/>
  <c r="I123"/>
  <c r="H125"/>
  <c r="I125"/>
  <c r="H126"/>
  <c r="I126"/>
  <c r="H127"/>
  <c r="I127"/>
  <c r="I128"/>
  <c r="I130"/>
  <c r="H131"/>
  <c r="I131"/>
  <c r="E34" l="1"/>
  <c r="H34" s="1"/>
  <c r="E122" l="1"/>
  <c r="H122" s="1"/>
  <c r="E123"/>
  <c r="H123" s="1"/>
  <c r="E116"/>
  <c r="H116" s="1"/>
  <c r="E106" l="1"/>
  <c r="H106" s="1"/>
  <c r="E101"/>
  <c r="H101" s="1"/>
  <c r="E102" l="1"/>
  <c r="H102" s="1"/>
  <c r="E99"/>
  <c r="H99" s="1"/>
  <c r="E95" l="1"/>
  <c r="H95" s="1"/>
  <c r="E81"/>
  <c r="H81" s="1"/>
  <c r="E82"/>
  <c r="H82" s="1"/>
  <c r="E80"/>
  <c r="H80" s="1"/>
  <c r="D79"/>
  <c r="G81"/>
  <c r="E75"/>
  <c r="H75" s="1"/>
  <c r="E65"/>
  <c r="H65" s="1"/>
  <c r="E64"/>
  <c r="H64" s="1"/>
  <c r="F66"/>
  <c r="D66"/>
  <c r="E59"/>
  <c r="H59" s="1"/>
  <c r="E55"/>
  <c r="H55" s="1"/>
  <c r="E56"/>
  <c r="H56" s="1"/>
  <c r="E48"/>
  <c r="H48" s="1"/>
  <c r="E46"/>
  <c r="H46" s="1"/>
  <c r="E44"/>
  <c r="H44" s="1"/>
  <c r="E40"/>
  <c r="H40" s="1"/>
  <c r="E38"/>
  <c r="H38" s="1"/>
  <c r="E31"/>
  <c r="H31" s="1"/>
  <c r="E20"/>
  <c r="H20" s="1"/>
  <c r="G24"/>
  <c r="E21"/>
  <c r="F21"/>
  <c r="D21"/>
  <c r="E11"/>
  <c r="H11" s="1"/>
  <c r="E8"/>
  <c r="H8" s="1"/>
  <c r="E7"/>
  <c r="H7" s="1"/>
  <c r="E17"/>
  <c r="H17" s="1"/>
  <c r="E15"/>
  <c r="H15" s="1"/>
  <c r="E13"/>
  <c r="H13" s="1"/>
  <c r="I21" l="1"/>
  <c r="H21"/>
  <c r="I66"/>
  <c r="E79"/>
  <c r="G9"/>
  <c r="E73"/>
  <c r="F73"/>
  <c r="G74"/>
  <c r="G61"/>
  <c r="G62"/>
  <c r="G63"/>
  <c r="G64"/>
  <c r="F60"/>
  <c r="E60"/>
  <c r="G52"/>
  <c r="G77"/>
  <c r="F76"/>
  <c r="E76"/>
  <c r="D76"/>
  <c r="C76"/>
  <c r="D73"/>
  <c r="D60"/>
  <c r="E49"/>
  <c r="F49"/>
  <c r="D49"/>
  <c r="C60"/>
  <c r="D30"/>
  <c r="G8"/>
  <c r="G11"/>
  <c r="G13"/>
  <c r="G15"/>
  <c r="G17"/>
  <c r="G20"/>
  <c r="G22"/>
  <c r="G23"/>
  <c r="G26"/>
  <c r="G27"/>
  <c r="G28"/>
  <c r="G31"/>
  <c r="G32"/>
  <c r="G34"/>
  <c r="G37"/>
  <c r="G38"/>
  <c r="G40"/>
  <c r="G41"/>
  <c r="G44"/>
  <c r="G46"/>
  <c r="G47"/>
  <c r="G48"/>
  <c r="G50"/>
  <c r="G51"/>
  <c r="G55"/>
  <c r="G56"/>
  <c r="G58"/>
  <c r="G59"/>
  <c r="G65"/>
  <c r="G67"/>
  <c r="G69"/>
  <c r="G70"/>
  <c r="G71"/>
  <c r="G72"/>
  <c r="G75"/>
  <c r="G80"/>
  <c r="G82"/>
  <c r="G84"/>
  <c r="G87"/>
  <c r="G88"/>
  <c r="G90"/>
  <c r="G91"/>
  <c r="G92"/>
  <c r="G93"/>
  <c r="G94"/>
  <c r="G95"/>
  <c r="G96"/>
  <c r="G99"/>
  <c r="G104"/>
  <c r="G107"/>
  <c r="G110"/>
  <c r="G112"/>
  <c r="G113"/>
  <c r="G116"/>
  <c r="G118"/>
  <c r="G120"/>
  <c r="G125"/>
  <c r="G126"/>
  <c r="G127"/>
  <c r="G128"/>
  <c r="G130"/>
  <c r="G131"/>
  <c r="D121"/>
  <c r="F121"/>
  <c r="C121"/>
  <c r="G102"/>
  <c r="D100"/>
  <c r="F100"/>
  <c r="D86"/>
  <c r="E86"/>
  <c r="F86"/>
  <c r="C86"/>
  <c r="D54"/>
  <c r="E54"/>
  <c r="F54"/>
  <c r="C54"/>
  <c r="D39"/>
  <c r="E39"/>
  <c r="F39"/>
  <c r="C39"/>
  <c r="D36"/>
  <c r="E36"/>
  <c r="F36"/>
  <c r="C36"/>
  <c r="E30"/>
  <c r="F30"/>
  <c r="D57"/>
  <c r="E57"/>
  <c r="F57"/>
  <c r="C57"/>
  <c r="D25"/>
  <c r="E25"/>
  <c r="F25"/>
  <c r="C25"/>
  <c r="I25" l="1"/>
  <c r="H25"/>
  <c r="I57"/>
  <c r="H57"/>
  <c r="I36"/>
  <c r="H36"/>
  <c r="I39"/>
  <c r="H39"/>
  <c r="I54"/>
  <c r="H54"/>
  <c r="I86"/>
  <c r="H86"/>
  <c r="I49"/>
  <c r="I30"/>
  <c r="H30"/>
  <c r="I100"/>
  <c r="I121"/>
  <c r="I76"/>
  <c r="I60"/>
  <c r="H60"/>
  <c r="I73"/>
  <c r="H73"/>
  <c r="G122"/>
  <c r="G106"/>
  <c r="E121"/>
  <c r="G121" s="1"/>
  <c r="G123"/>
  <c r="G7"/>
  <c r="G76"/>
  <c r="G86"/>
  <c r="G30"/>
  <c r="G25"/>
  <c r="G57"/>
  <c r="G36"/>
  <c r="G101"/>
  <c r="G39"/>
  <c r="E100"/>
  <c r="H100" s="1"/>
  <c r="G54"/>
  <c r="D124"/>
  <c r="E124"/>
  <c r="F124"/>
  <c r="C124"/>
  <c r="D105"/>
  <c r="E105"/>
  <c r="F105"/>
  <c r="C105"/>
  <c r="C49"/>
  <c r="I105" l="1"/>
  <c r="H105"/>
  <c r="I124"/>
  <c r="H124"/>
  <c r="H121"/>
  <c r="G100"/>
  <c r="G124"/>
  <c r="G49"/>
  <c r="G105"/>
  <c r="C45"/>
  <c r="C30"/>
  <c r="C21"/>
  <c r="D19"/>
  <c r="E19"/>
  <c r="F19"/>
  <c r="C19"/>
  <c r="I19" l="1"/>
  <c r="H19"/>
  <c r="G19"/>
  <c r="G21"/>
  <c r="E18"/>
  <c r="F18"/>
  <c r="D18"/>
  <c r="C18"/>
  <c r="F45"/>
  <c r="D45"/>
  <c r="I45" l="1"/>
  <c r="I18"/>
  <c r="H18"/>
  <c r="G18"/>
  <c r="C129"/>
  <c r="D129"/>
  <c r="E129"/>
  <c r="C119"/>
  <c r="D119"/>
  <c r="E119"/>
  <c r="C117"/>
  <c r="D117"/>
  <c r="E117"/>
  <c r="C115"/>
  <c r="D115"/>
  <c r="E115"/>
  <c r="C109"/>
  <c r="D109"/>
  <c r="E109"/>
  <c r="C111"/>
  <c r="D111"/>
  <c r="E111"/>
  <c r="C83"/>
  <c r="D83"/>
  <c r="E83"/>
  <c r="C79"/>
  <c r="C73"/>
  <c r="C66"/>
  <c r="D53"/>
  <c r="E66"/>
  <c r="H66" s="1"/>
  <c r="C43"/>
  <c r="D43"/>
  <c r="E43"/>
  <c r="F43"/>
  <c r="F129"/>
  <c r="F119"/>
  <c r="F117"/>
  <c r="F115"/>
  <c r="C103"/>
  <c r="D103"/>
  <c r="E103"/>
  <c r="C98"/>
  <c r="D98"/>
  <c r="E98"/>
  <c r="F111"/>
  <c r="F109"/>
  <c r="F103"/>
  <c r="F98"/>
  <c r="C89"/>
  <c r="D89"/>
  <c r="D85" s="1"/>
  <c r="E89"/>
  <c r="F83"/>
  <c r="F79"/>
  <c r="C33"/>
  <c r="D33"/>
  <c r="D29" s="1"/>
  <c r="E33"/>
  <c r="F33"/>
  <c r="C16"/>
  <c r="D16"/>
  <c r="E16"/>
  <c r="F16"/>
  <c r="C14"/>
  <c r="D14"/>
  <c r="E14"/>
  <c r="F14"/>
  <c r="C12"/>
  <c r="D12"/>
  <c r="E12"/>
  <c r="F12"/>
  <c r="C10"/>
  <c r="D10"/>
  <c r="E10"/>
  <c r="F10"/>
  <c r="C6"/>
  <c r="D6"/>
  <c r="E6"/>
  <c r="E5" s="1"/>
  <c r="I83" l="1"/>
  <c r="I98"/>
  <c r="H98"/>
  <c r="I109"/>
  <c r="H109"/>
  <c r="I115"/>
  <c r="H115"/>
  <c r="I119"/>
  <c r="I43"/>
  <c r="H43"/>
  <c r="I10"/>
  <c r="H10"/>
  <c r="I12"/>
  <c r="H12"/>
  <c r="I14"/>
  <c r="H14"/>
  <c r="I16"/>
  <c r="H16"/>
  <c r="I33"/>
  <c r="H33"/>
  <c r="I79"/>
  <c r="H79"/>
  <c r="I103"/>
  <c r="H103"/>
  <c r="I111"/>
  <c r="H111"/>
  <c r="I129"/>
  <c r="H129"/>
  <c r="D78"/>
  <c r="C78"/>
  <c r="F78"/>
  <c r="E78"/>
  <c r="G103"/>
  <c r="G66"/>
  <c r="G98"/>
  <c r="G119"/>
  <c r="G73"/>
  <c r="G129"/>
  <c r="G79"/>
  <c r="G109"/>
  <c r="G115"/>
  <c r="G43"/>
  <c r="G10"/>
  <c r="G12"/>
  <c r="G14"/>
  <c r="G16"/>
  <c r="G33"/>
  <c r="G60"/>
  <c r="G83"/>
  <c r="G111"/>
  <c r="G117"/>
  <c r="D97"/>
  <c r="F97"/>
  <c r="E97"/>
  <c r="F89"/>
  <c r="E45"/>
  <c r="H45" s="1"/>
  <c r="F6"/>
  <c r="F42"/>
  <c r="C108"/>
  <c r="D114"/>
  <c r="C114"/>
  <c r="C85"/>
  <c r="C53"/>
  <c r="C42"/>
  <c r="C35"/>
  <c r="C29"/>
  <c r="C5"/>
  <c r="E114"/>
  <c r="E108"/>
  <c r="E85"/>
  <c r="E53"/>
  <c r="E35"/>
  <c r="E29"/>
  <c r="F53"/>
  <c r="F35"/>
  <c r="F29"/>
  <c r="D108"/>
  <c r="D42"/>
  <c r="D35"/>
  <c r="D5"/>
  <c r="F114"/>
  <c r="F108"/>
  <c r="D132" l="1"/>
  <c r="I114"/>
  <c r="H114"/>
  <c r="I35"/>
  <c r="H35"/>
  <c r="I6"/>
  <c r="H6"/>
  <c r="I89"/>
  <c r="H89"/>
  <c r="I97"/>
  <c r="H97"/>
  <c r="I78"/>
  <c r="H78"/>
  <c r="I108"/>
  <c r="H108"/>
  <c r="I29"/>
  <c r="H29"/>
  <c r="I53"/>
  <c r="H53"/>
  <c r="I42"/>
  <c r="G53"/>
  <c r="G6"/>
  <c r="G45"/>
  <c r="G97"/>
  <c r="G78"/>
  <c r="G29"/>
  <c r="G89"/>
  <c r="G108"/>
  <c r="G114"/>
  <c r="G35"/>
  <c r="F5"/>
  <c r="F85"/>
  <c r="E42"/>
  <c r="H42" s="1"/>
  <c r="H5" l="1"/>
  <c r="I5"/>
  <c r="I85"/>
  <c r="H85"/>
  <c r="G5"/>
  <c r="G42"/>
  <c r="G85"/>
  <c r="E132"/>
  <c r="F132"/>
  <c r="I132" l="1"/>
  <c r="H132"/>
  <c r="G132"/>
  <c r="C100"/>
  <c r="C97" s="1"/>
  <c r="C132" s="1"/>
</calcChain>
</file>

<file path=xl/sharedStrings.xml><?xml version="1.0" encoding="utf-8"?>
<sst xmlns="http://schemas.openxmlformats.org/spreadsheetml/2006/main" count="180" uniqueCount="109">
  <si>
    <t>ЦСР</t>
  </si>
  <si>
    <t>Исполнено, руб.</t>
  </si>
  <si>
    <t>% испол. кассового плана</t>
  </si>
  <si>
    <t>22 0 0000</t>
  </si>
  <si>
    <t>13 0 0000</t>
  </si>
  <si>
    <t>Подпрограмма "Профилактика правонарушений"</t>
  </si>
  <si>
    <t>13 1 0000</t>
  </si>
  <si>
    <t>Департамент жилищно-коммунального хозяйства администрации города Нефтеюганска</t>
  </si>
  <si>
    <t>Подпрограмма "Безопасность дорожного движения"</t>
  </si>
  <si>
    <t>13 2 0000</t>
  </si>
  <si>
    <t>Комитет физической культуры и спорта администрации города Нефтеюганска</t>
  </si>
  <si>
    <t>23 0 0000</t>
  </si>
  <si>
    <t>19 0 0000</t>
  </si>
  <si>
    <t>Подпрограмма "Организация бюджетного процесса в городе Нефтеюганске"</t>
  </si>
  <si>
    <t>19 1 0000</t>
  </si>
  <si>
    <t>Департамент финансов администрации города Нефтеюганска</t>
  </si>
  <si>
    <t>Подпрограмма "Управление муниципальным долгом города Нефтеюганска"</t>
  </si>
  <si>
    <t>19 2 0000</t>
  </si>
  <si>
    <t>Подпрограмма "Развитие информационной системы управления муниципальными финансами города Нефтеюганска"</t>
  </si>
  <si>
    <t>19 3 0000</t>
  </si>
  <si>
    <t>04 0 0000</t>
  </si>
  <si>
    <t>16 0 0000</t>
  </si>
  <si>
    <t>Подпрограмма "Совершенствование муниципального управления"</t>
  </si>
  <si>
    <t>16 1 0000</t>
  </si>
  <si>
    <t>Подпрограмма "Развитие малого  и среднего предпринимательства"</t>
  </si>
  <si>
    <t>16 7 0000</t>
  </si>
  <si>
    <t>14 0 0000</t>
  </si>
  <si>
    <t>14 1 0000</t>
  </si>
  <si>
    <t>Подпрограмма "Обеспечение первичных мер пожарной безопасности в городе Нефтеюганске"</t>
  </si>
  <si>
    <t>14 3 0000</t>
  </si>
  <si>
    <t>11 0 0000</t>
  </si>
  <si>
    <t>Подпрограмма "Содействие развитию градостроительной деятельности"</t>
  </si>
  <si>
    <t>11 2 0000</t>
  </si>
  <si>
    <t>Подпрограмма "Содействие развитию жилищного строительства на 2014-2020 годы"</t>
  </si>
  <si>
    <t>11 3 0000</t>
  </si>
  <si>
    <t xml:space="preserve">Подпрограмма "Обеспечение мерами муниципальной поддержки по улучшению жилищных условий отдельных категорий граждан на 2014-2020 годы" </t>
  </si>
  <si>
    <t>11 6 0000</t>
  </si>
  <si>
    <t>06 0 0000</t>
  </si>
  <si>
    <t>06 1 0000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</si>
  <si>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</si>
  <si>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06 3 0000</t>
  </si>
  <si>
    <t>25 0 0000</t>
  </si>
  <si>
    <t>02 0 0000</t>
  </si>
  <si>
    <t>02 1 0000</t>
  </si>
  <si>
    <t>Подпрограмма "Совершенствование системы оценки качества образования и информационной прозрачности системы образования"</t>
  </si>
  <si>
    <t>02 2 0000</t>
  </si>
  <si>
    <t>Подпрограмма "Отдых и оздоровление детей"</t>
  </si>
  <si>
    <t>02 3 0000</t>
  </si>
  <si>
    <t>02 4 0000</t>
  </si>
  <si>
    <t>02 5 0000</t>
  </si>
  <si>
    <t>18 0 0000</t>
  </si>
  <si>
    <t>Подпрограмма "Транспорт"</t>
  </si>
  <si>
    <t>18 2 0000</t>
  </si>
  <si>
    <t>Подпрограмма "Автомобильные дороги"</t>
  </si>
  <si>
    <t>18 6 0000</t>
  </si>
  <si>
    <t>12 0 0000</t>
  </si>
  <si>
    <t>Подпрограмма "Создание условий для обеспечения качественными коммунальными услугами"</t>
  </si>
  <si>
    <t>12 1 0000</t>
  </si>
  <si>
    <t>Подпрограмма "Создание условий для обеспечения доступности и повышения качества жилищных услуг"</t>
  </si>
  <si>
    <t>12 2 0000</t>
  </si>
  <si>
    <t>Подпрограмма "Повышение уровня благоустроенности города"</t>
  </si>
  <si>
    <t>12 3 0000</t>
  </si>
  <si>
    <t>Подпрограмма "Повышение энергоэффективности в отраслях экономики"</t>
  </si>
  <si>
    <t>12 6 0000</t>
  </si>
  <si>
    <t>Подпрограмма "Обеспечение реализации муниципальной программы"</t>
  </si>
  <si>
    <t>12 7 0000</t>
  </si>
  <si>
    <t>05 0 0000</t>
  </si>
  <si>
    <t>Подпрограмма "Обеспечение прав граждан на доступ к культурным ценностям и информации"</t>
  </si>
  <si>
    <t>05 1 0000</t>
  </si>
  <si>
    <t>05 4 0000</t>
  </si>
  <si>
    <t>Муниципальная программа "Социально-экономическое развитие города Нефтеюганска на 2014-2020 годы"</t>
  </si>
  <si>
    <t>Муниципальная программа "Управление муниципальными финансами в городе Нефтеюганске в 2014-2020 годах"</t>
  </si>
  <si>
    <t>Итого по муниципальным программам</t>
  </si>
  <si>
    <t>Подпрограмма "Развитие системы массовой физической культуры, подготовки спортивного резерва  и спорта высших достижений"</t>
  </si>
  <si>
    <t>% испол. бюджетн. росписи</t>
  </si>
  <si>
    <t>Подпрограмма "Дошкольное, общее и дополнительное образование"</t>
  </si>
  <si>
    <t>Подпрограмма "Отдельные переданные полномочия по осуществлению деятельности опеки и попечительства"</t>
  </si>
  <si>
    <t>Управление опеки и попечительства администрации города Нефтеюганска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</si>
  <si>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</si>
  <si>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</si>
  <si>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</si>
  <si>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</si>
  <si>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Комитет записи актов гражданского состояния администрации города Нефтеюганска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</si>
  <si>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</si>
  <si>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</si>
  <si>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Муниципальная программа "Доступная среда в городе Нефтеюганске на 2014-2020 годы"</t>
  </si>
  <si>
    <t>Муниципальная программа "Развитие физической культуры и спорта в городе Нефтеюганске на 2014-2020 годы"</t>
  </si>
  <si>
    <t>Муниципальная программа "Развитие транспортной системы в городе Нефтеюганске на 2014-2020 годы"</t>
  </si>
  <si>
    <t>Муниципальная программа "Управление муниципальным имуществом города Нефтеюганска на 2014-2020 годы"</t>
  </si>
  <si>
    <t>Отклонение (гр.5-гр.4), руб.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</si>
  <si>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</si>
  <si>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</si>
  <si>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Муниципальная программа "Профилактика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</si>
  <si>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</si>
  <si>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Муниципальная программа "Развитие образования и молодёжной политики в городе Нефтеюганске на 2014-2020 годы"</t>
  </si>
  <si>
    <t>Департамент образования и молодёжной политики администрации города Нефтеюганска</t>
  </si>
  <si>
    <t>Подпрограмма "Организация деятельности в сфере образования и молодёжной политики"</t>
  </si>
  <si>
    <t>Подпрограмма "Молодёжь Нефтеюганска"</t>
  </si>
  <si>
    <t>Муниципальная программа "Обеспечение доступным и комфортным жильём жителей города Нефтеюганска в 2014-2020 годах"</t>
  </si>
  <si>
    <t>Первоначальный план на 2018 год, руб.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</si>
  <si>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</si>
  <si>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</si>
  <si>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</si>
  <si>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</si>
  <si>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</si>
  <si>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"Развитие жилищно-коммунального комплекса в городе Нефтеюганске в 2014-2022 годах"</t>
  </si>
  <si>
    <t>Бюджетная роспись                          на 2018 год, руб.</t>
  </si>
  <si>
    <t>4.  Исполнение по муниципальным программам за 1 полугодие 2018 года</t>
  </si>
  <si>
    <t>Кассовый план за 1 полугодие, руб.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</si>
</sst>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(* #,##0.00_);_(* \-#,##0.00;_(* &quot;&quot;??_);_(@_)"/>
    <numFmt numFmtId="165" formatCode="#,##0.00_р_."/>
    <numFmt numFmtId="166" formatCode="#,##0.00_ ;\-#,##0.00\ "/>
  </numFmts>
  <fonts count="1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4" fillId="0" borderId="0"/>
    <xf numFmtId="0" fontId="3" fillId="0" borderId="0"/>
  </cellStyleXfs>
  <cellXfs count="47">
    <xf numFmtId="0" fontId="0" fillId="0" borderId="0" xfId="0"/>
    <xf numFmtId="0" fontId="0" fillId="0" borderId="0" xfId="0" applyFont="1" applyFill="1"/>
    <xf numFmtId="2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4" applyNumberFormat="1" applyFont="1" applyFill="1" applyBorder="1" applyAlignment="1">
      <alignment horizontal="center" vertical="center" wrapText="1"/>
    </xf>
    <xf numFmtId="4" fontId="2" fillId="0" borderId="1" xfId="3" applyNumberFormat="1" applyFont="1" applyFill="1" applyBorder="1" applyAlignment="1">
      <alignment horizontal="center" vertical="center" wrapText="1"/>
    </xf>
    <xf numFmtId="43" fontId="2" fillId="0" borderId="1" xfId="3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4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9" fontId="1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9" fontId="2" fillId="0" borderId="1" xfId="0" applyNumberFormat="1" applyFont="1" applyFill="1" applyBorder="1" applyAlignment="1">
      <alignment vertical="center" wrapText="1"/>
    </xf>
    <xf numFmtId="0" fontId="9" fillId="0" borderId="0" xfId="0" applyFont="1" applyFill="1"/>
    <xf numFmtId="0" fontId="1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3" fontId="2" fillId="0" borderId="1" xfId="0" applyNumberFormat="1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39" fontId="2" fillId="2" borderId="1" xfId="0" applyNumberFormat="1" applyFont="1" applyFill="1" applyBorder="1" applyAlignment="1">
      <alignment vertical="center" wrapText="1"/>
    </xf>
    <xf numFmtId="2" fontId="0" fillId="0" borderId="0" xfId="0" applyNumberFormat="1" applyFont="1" applyFill="1"/>
    <xf numFmtId="0" fontId="1" fillId="2" borderId="1" xfId="0" applyFont="1" applyFill="1" applyBorder="1" applyAlignment="1">
      <alignment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0" fontId="2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9" fillId="2" borderId="0" xfId="0" applyFont="1" applyFill="1"/>
    <xf numFmtId="0" fontId="8" fillId="2" borderId="1" xfId="0" applyFont="1" applyFill="1" applyBorder="1" applyAlignment="1">
      <alignment vertical="center" wrapText="1"/>
    </xf>
    <xf numFmtId="3" fontId="6" fillId="2" borderId="1" xfId="0" applyNumberFormat="1" applyFont="1" applyFill="1" applyBorder="1" applyAlignment="1">
      <alignment wrapText="1"/>
    </xf>
    <xf numFmtId="39" fontId="7" fillId="2" borderId="1" xfId="0" applyNumberFormat="1" applyFont="1" applyFill="1" applyBorder="1" applyAlignment="1">
      <alignment vertical="center" wrapText="1"/>
    </xf>
    <xf numFmtId="0" fontId="5" fillId="0" borderId="0" xfId="2" applyNumberFormat="1" applyFont="1" applyFill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39" fontId="2" fillId="0" borderId="2" xfId="0" applyNumberFormat="1" applyFont="1" applyFill="1" applyBorder="1" applyAlignment="1">
      <alignment vertical="center" wrapText="1"/>
    </xf>
    <xf numFmtId="0" fontId="5" fillId="0" borderId="0" xfId="2" applyNumberFormat="1" applyFont="1" applyFill="1" applyAlignment="1" applyProtection="1">
      <alignment horizontal="center" vertical="center" wrapText="1"/>
    </xf>
    <xf numFmtId="39" fontId="7" fillId="0" borderId="1" xfId="0" applyNumberFormat="1" applyFont="1" applyFill="1" applyBorder="1" applyAlignment="1">
      <alignment vertical="center" wrapText="1"/>
    </xf>
    <xf numFmtId="0" fontId="10" fillId="0" borderId="0" xfId="0" applyFont="1" applyFill="1"/>
    <xf numFmtId="4" fontId="0" fillId="0" borderId="0" xfId="0" applyNumberFormat="1" applyFont="1" applyFill="1"/>
    <xf numFmtId="166" fontId="0" fillId="0" borderId="0" xfId="0" applyNumberFormat="1" applyFont="1" applyFill="1"/>
    <xf numFmtId="0" fontId="5" fillId="0" borderId="0" xfId="2" applyNumberFormat="1" applyFont="1" applyFill="1" applyAlignment="1" applyProtection="1">
      <alignment horizontal="center" vertical="center" wrapText="1"/>
    </xf>
    <xf numFmtId="2" fontId="10" fillId="0" borderId="0" xfId="0" applyNumberFormat="1" applyFont="1" applyFill="1"/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5"/>
  <sheetViews>
    <sheetView tabSelected="1" zoomScaleNormal="100" zoomScaleSheetLayoutView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40" sqref="F140"/>
    </sheetView>
  </sheetViews>
  <sheetFormatPr defaultColWidth="9.140625" defaultRowHeight="15"/>
  <cols>
    <col min="1" max="1" width="69.85546875" style="1" customWidth="1"/>
    <col min="2" max="2" width="9.140625" style="1" hidden="1" customWidth="1"/>
    <col min="3" max="3" width="18" style="1" customWidth="1"/>
    <col min="4" max="4" width="19.5703125" style="1" customWidth="1"/>
    <col min="5" max="5" width="17.5703125" style="42" customWidth="1"/>
    <col min="6" max="6" width="18.85546875" style="1" customWidth="1"/>
    <col min="7" max="7" width="16.42578125" style="1" customWidth="1"/>
    <col min="8" max="8" width="10.85546875" style="1" customWidth="1"/>
    <col min="9" max="16384" width="9.140625" style="1"/>
  </cols>
  <sheetData>
    <row r="1" spans="1:9" ht="15.75">
      <c r="A1" s="45" t="s">
        <v>107</v>
      </c>
      <c r="B1" s="45"/>
      <c r="C1" s="45"/>
      <c r="D1" s="45"/>
      <c r="E1" s="45"/>
      <c r="F1" s="45"/>
      <c r="G1" s="45"/>
      <c r="H1" s="45"/>
    </row>
    <row r="2" spans="1:9" ht="15.75">
      <c r="A2" s="36"/>
      <c r="B2" s="36"/>
      <c r="C2" s="36"/>
      <c r="D2" s="40"/>
      <c r="E2" s="40"/>
      <c r="F2" s="40"/>
      <c r="G2" s="36"/>
      <c r="H2" s="36"/>
      <c r="I2" s="36"/>
    </row>
    <row r="3" spans="1:9" ht="38.25">
      <c r="A3" s="2"/>
      <c r="B3" s="3" t="s">
        <v>0</v>
      </c>
      <c r="C3" s="4" t="s">
        <v>99</v>
      </c>
      <c r="D3" s="4" t="s">
        <v>106</v>
      </c>
      <c r="E3" s="4" t="s">
        <v>108</v>
      </c>
      <c r="F3" s="5" t="s">
        <v>1</v>
      </c>
      <c r="G3" s="6" t="s">
        <v>89</v>
      </c>
      <c r="H3" s="7" t="s">
        <v>2</v>
      </c>
      <c r="I3" s="7" t="s">
        <v>74</v>
      </c>
    </row>
    <row r="4" spans="1:9">
      <c r="A4" s="8">
        <v>1</v>
      </c>
      <c r="B4" s="9"/>
      <c r="C4" s="10">
        <v>2</v>
      </c>
      <c r="D4" s="10">
        <v>3</v>
      </c>
      <c r="E4" s="10">
        <v>4</v>
      </c>
      <c r="F4" s="10">
        <v>5</v>
      </c>
      <c r="G4" s="10">
        <v>6</v>
      </c>
      <c r="H4" s="10">
        <v>7</v>
      </c>
      <c r="I4" s="10">
        <v>8</v>
      </c>
    </row>
    <row r="5" spans="1:9" ht="28.5" customHeight="1">
      <c r="A5" s="11" t="s">
        <v>94</v>
      </c>
      <c r="B5" s="12" t="s">
        <v>42</v>
      </c>
      <c r="C5" s="13">
        <f t="shared" ref="C5:D5" si="0">C6+C10+C12+C14+C16</f>
        <v>3475890843</v>
      </c>
      <c r="D5" s="13">
        <f t="shared" si="0"/>
        <v>3600763586</v>
      </c>
      <c r="E5" s="13">
        <f>E6+E10+E12+E14+E16</f>
        <v>2003258384.54</v>
      </c>
      <c r="F5" s="13">
        <f>F6+F10+F12+F14+F16</f>
        <v>1745963896.8500001</v>
      </c>
      <c r="G5" s="13">
        <f>F5-E5</f>
        <v>-257294487.68999982</v>
      </c>
      <c r="H5" s="37">
        <f>(F5/E5)*100</f>
        <v>87.156200634144284</v>
      </c>
      <c r="I5" s="37">
        <f>(F5/D5)*100</f>
        <v>48.488712328641064</v>
      </c>
    </row>
    <row r="6" spans="1:9">
      <c r="A6" s="11" t="s">
        <v>75</v>
      </c>
      <c r="B6" s="12" t="s">
        <v>43</v>
      </c>
      <c r="C6" s="13">
        <f t="shared" ref="C6:E6" si="1">SUM(C7:C9)</f>
        <v>3269278458</v>
      </c>
      <c r="D6" s="13">
        <f t="shared" si="1"/>
        <v>3388345880</v>
      </c>
      <c r="E6" s="13">
        <f t="shared" si="1"/>
        <v>1890924972.54</v>
      </c>
      <c r="F6" s="13">
        <f>SUM(F7:F9)</f>
        <v>1640623134.4700003</v>
      </c>
      <c r="G6" s="13">
        <f t="shared" ref="G6:G78" si="2">F6-E6</f>
        <v>-250301838.06999969</v>
      </c>
      <c r="H6" s="37">
        <f t="shared" ref="H6:H69" si="3">(F6/E6)*100</f>
        <v>86.762994740411102</v>
      </c>
      <c r="I6" s="37">
        <f t="shared" ref="I6:I69" si="4">(F6/D6)*100</f>
        <v>48.419588571341492</v>
      </c>
    </row>
    <row r="7" spans="1:9" ht="25.5">
      <c r="A7" s="14" t="s">
        <v>95</v>
      </c>
      <c r="B7" s="15"/>
      <c r="C7" s="16">
        <v>3259084910</v>
      </c>
      <c r="D7" s="16">
        <v>3342206463</v>
      </c>
      <c r="E7" s="16">
        <f>235445342.54+45114630+4542000+6652000+51497392+38982680+401469944+26020180+1006971808+12776300+145400+355000+2145520+425000+1546172+2851000+49622415</f>
        <v>1886562783.54</v>
      </c>
      <c r="F7" s="16">
        <v>1639704293.7500002</v>
      </c>
      <c r="G7" s="16">
        <f t="shared" si="2"/>
        <v>-246858489.78999972</v>
      </c>
      <c r="H7" s="38">
        <f t="shared" si="3"/>
        <v>86.914907261830564</v>
      </c>
      <c r="I7" s="38">
        <f t="shared" si="4"/>
        <v>49.060532672125355</v>
      </c>
    </row>
    <row r="8" spans="1:9" ht="25.5">
      <c r="A8" s="14" t="s">
        <v>100</v>
      </c>
      <c r="B8" s="15"/>
      <c r="C8" s="16">
        <v>10193548</v>
      </c>
      <c r="D8" s="16">
        <v>28674981</v>
      </c>
      <c r="E8" s="16">
        <f>35072+2815491</f>
        <v>2850563</v>
      </c>
      <c r="F8" s="16">
        <v>0</v>
      </c>
      <c r="G8" s="16">
        <f t="shared" si="2"/>
        <v>-2850563</v>
      </c>
      <c r="H8" s="38">
        <f t="shared" si="3"/>
        <v>0</v>
      </c>
      <c r="I8" s="38">
        <f t="shared" si="4"/>
        <v>0</v>
      </c>
    </row>
    <row r="9" spans="1:9" ht="25.5">
      <c r="A9" s="14" t="s">
        <v>7</v>
      </c>
      <c r="B9" s="15"/>
      <c r="C9" s="16">
        <v>0</v>
      </c>
      <c r="D9" s="16">
        <v>17464436</v>
      </c>
      <c r="E9" s="16">
        <v>1511626</v>
      </c>
      <c r="F9" s="16">
        <v>918840.72</v>
      </c>
      <c r="G9" s="16">
        <f t="shared" ref="G9" si="5">F9-E9</f>
        <v>-592785.28</v>
      </c>
      <c r="H9" s="38">
        <f t="shared" si="3"/>
        <v>60.784924313289132</v>
      </c>
      <c r="I9" s="38">
        <f t="shared" si="4"/>
        <v>5.2612103820587164</v>
      </c>
    </row>
    <row r="10" spans="1:9" s="17" customFormat="1" ht="25.5">
      <c r="A10" s="11" t="s">
        <v>44</v>
      </c>
      <c r="B10" s="12" t="s">
        <v>45</v>
      </c>
      <c r="C10" s="13">
        <f t="shared" ref="C10:E10" si="6">C11</f>
        <v>645000</v>
      </c>
      <c r="D10" s="13">
        <f t="shared" si="6"/>
        <v>1082000</v>
      </c>
      <c r="E10" s="13">
        <f t="shared" si="6"/>
        <v>162000</v>
      </c>
      <c r="F10" s="13">
        <f>F11</f>
        <v>0</v>
      </c>
      <c r="G10" s="13">
        <f t="shared" si="2"/>
        <v>-162000</v>
      </c>
      <c r="H10" s="37">
        <f t="shared" si="3"/>
        <v>0</v>
      </c>
      <c r="I10" s="37">
        <f t="shared" si="4"/>
        <v>0</v>
      </c>
    </row>
    <row r="11" spans="1:9" ht="25.5">
      <c r="A11" s="14" t="s">
        <v>95</v>
      </c>
      <c r="B11" s="15"/>
      <c r="C11" s="16">
        <v>645000</v>
      </c>
      <c r="D11" s="16">
        <v>1082000</v>
      </c>
      <c r="E11" s="16">
        <f>162000</f>
        <v>162000</v>
      </c>
      <c r="F11" s="16">
        <v>0</v>
      </c>
      <c r="G11" s="16">
        <f t="shared" si="2"/>
        <v>-162000</v>
      </c>
      <c r="H11" s="38">
        <f t="shared" si="3"/>
        <v>0</v>
      </c>
      <c r="I11" s="38">
        <f t="shared" si="4"/>
        <v>0</v>
      </c>
    </row>
    <row r="12" spans="1:9">
      <c r="A12" s="11" t="s">
        <v>46</v>
      </c>
      <c r="B12" s="12" t="s">
        <v>47</v>
      </c>
      <c r="C12" s="13">
        <f t="shared" ref="C12:E12" si="7">C13</f>
        <v>42308585</v>
      </c>
      <c r="D12" s="13">
        <f t="shared" si="7"/>
        <v>44970793</v>
      </c>
      <c r="E12" s="13">
        <f t="shared" si="7"/>
        <v>21051744</v>
      </c>
      <c r="F12" s="13">
        <f>F13</f>
        <v>19776224.5</v>
      </c>
      <c r="G12" s="13">
        <f t="shared" si="2"/>
        <v>-1275519.5</v>
      </c>
      <c r="H12" s="37">
        <f t="shared" si="3"/>
        <v>93.941026928695308</v>
      </c>
      <c r="I12" s="37">
        <f t="shared" si="4"/>
        <v>43.975707744357543</v>
      </c>
    </row>
    <row r="13" spans="1:9" ht="25.5">
      <c r="A13" s="14" t="s">
        <v>95</v>
      </c>
      <c r="B13" s="15"/>
      <c r="C13" s="16">
        <v>42308585</v>
      </c>
      <c r="D13" s="16">
        <v>44970793</v>
      </c>
      <c r="E13" s="16">
        <f>2525390+4988453+11400000+2137901</f>
        <v>21051744</v>
      </c>
      <c r="F13" s="16">
        <v>19776224.5</v>
      </c>
      <c r="G13" s="16">
        <f t="shared" si="2"/>
        <v>-1275519.5</v>
      </c>
      <c r="H13" s="38">
        <f t="shared" si="3"/>
        <v>93.941026928695308</v>
      </c>
      <c r="I13" s="38">
        <f t="shared" si="4"/>
        <v>43.975707744357543</v>
      </c>
    </row>
    <row r="14" spans="1:9">
      <c r="A14" s="11" t="s">
        <v>97</v>
      </c>
      <c r="B14" s="12" t="s">
        <v>48</v>
      </c>
      <c r="C14" s="13">
        <f t="shared" ref="C14:E14" si="8">C15</f>
        <v>48028600</v>
      </c>
      <c r="D14" s="13">
        <f t="shared" si="8"/>
        <v>49371600</v>
      </c>
      <c r="E14" s="13">
        <f t="shared" si="8"/>
        <v>23977935</v>
      </c>
      <c r="F14" s="13">
        <f>F15</f>
        <v>20394635.539999999</v>
      </c>
      <c r="G14" s="13">
        <f t="shared" si="2"/>
        <v>-3583299.4600000009</v>
      </c>
      <c r="H14" s="37">
        <f t="shared" si="3"/>
        <v>85.055846302027263</v>
      </c>
      <c r="I14" s="37">
        <f t="shared" si="4"/>
        <v>41.30843549733045</v>
      </c>
    </row>
    <row r="15" spans="1:9" ht="25.5">
      <c r="A15" s="14" t="s">
        <v>95</v>
      </c>
      <c r="B15" s="15"/>
      <c r="C15" s="16">
        <v>48028600</v>
      </c>
      <c r="D15" s="16">
        <v>49371600</v>
      </c>
      <c r="E15" s="16">
        <f>16853710+5354600+833600+334000+602025</f>
        <v>23977935</v>
      </c>
      <c r="F15" s="16">
        <v>20394635.539999999</v>
      </c>
      <c r="G15" s="16">
        <f t="shared" si="2"/>
        <v>-3583299.4600000009</v>
      </c>
      <c r="H15" s="38">
        <f t="shared" si="3"/>
        <v>85.055846302027263</v>
      </c>
      <c r="I15" s="38">
        <f t="shared" si="4"/>
        <v>41.30843549733045</v>
      </c>
    </row>
    <row r="16" spans="1:9" ht="25.5">
      <c r="A16" s="11" t="s">
        <v>96</v>
      </c>
      <c r="B16" s="12" t="s">
        <v>49</v>
      </c>
      <c r="C16" s="13">
        <f t="shared" ref="C16:E16" si="9">SUM(C17)</f>
        <v>115630200</v>
      </c>
      <c r="D16" s="13">
        <f t="shared" si="9"/>
        <v>116993313</v>
      </c>
      <c r="E16" s="13">
        <f t="shared" si="9"/>
        <v>67141733</v>
      </c>
      <c r="F16" s="13">
        <f>SUM(F17)</f>
        <v>65169902.339999996</v>
      </c>
      <c r="G16" s="13">
        <f t="shared" si="2"/>
        <v>-1971830.6600000039</v>
      </c>
      <c r="H16" s="37">
        <f t="shared" si="3"/>
        <v>97.063181762079324</v>
      </c>
      <c r="I16" s="37">
        <f t="shared" si="4"/>
        <v>55.703954926039231</v>
      </c>
    </row>
    <row r="17" spans="1:9" ht="25.5">
      <c r="A17" s="14" t="s">
        <v>95</v>
      </c>
      <c r="B17" s="15"/>
      <c r="C17" s="16">
        <v>115630200</v>
      </c>
      <c r="D17" s="16">
        <v>116993313</v>
      </c>
      <c r="E17" s="16">
        <f>30654685+641400+35752400+93248</f>
        <v>67141733</v>
      </c>
      <c r="F17" s="16">
        <v>65169902.339999996</v>
      </c>
      <c r="G17" s="16">
        <f t="shared" si="2"/>
        <v>-1971830.6600000039</v>
      </c>
      <c r="H17" s="38">
        <f t="shared" si="3"/>
        <v>97.063181762079324</v>
      </c>
      <c r="I17" s="38">
        <f t="shared" si="4"/>
        <v>55.703954926039231</v>
      </c>
    </row>
    <row r="18" spans="1:9" s="17" customFormat="1" ht="25.5">
      <c r="A18" s="11" t="s">
        <v>84</v>
      </c>
      <c r="B18" s="12"/>
      <c r="C18" s="13">
        <f>C19+C21</f>
        <v>99232800</v>
      </c>
      <c r="D18" s="13">
        <f t="shared" ref="D18:F18" si="10">D19+D21</f>
        <v>107825028.84999999</v>
      </c>
      <c r="E18" s="13">
        <f t="shared" si="10"/>
        <v>32016382</v>
      </c>
      <c r="F18" s="13">
        <f t="shared" si="10"/>
        <v>30885522.18</v>
      </c>
      <c r="G18" s="13">
        <f t="shared" si="2"/>
        <v>-1130859.8200000003</v>
      </c>
      <c r="H18" s="37">
        <f t="shared" si="3"/>
        <v>96.467871291640634</v>
      </c>
      <c r="I18" s="37">
        <f t="shared" si="4"/>
        <v>28.644112141130211</v>
      </c>
    </row>
    <row r="19" spans="1:9" s="17" customFormat="1" ht="25.5">
      <c r="A19" s="11" t="s">
        <v>76</v>
      </c>
      <c r="B19" s="12"/>
      <c r="C19" s="13">
        <f>C20</f>
        <v>32088300</v>
      </c>
      <c r="D19" s="13">
        <f t="shared" ref="D19:F19" si="11">D20</f>
        <v>33362179</v>
      </c>
      <c r="E19" s="13">
        <f t="shared" si="11"/>
        <v>18603361</v>
      </c>
      <c r="F19" s="13">
        <f t="shared" si="11"/>
        <v>17650701.18</v>
      </c>
      <c r="G19" s="13">
        <f t="shared" si="2"/>
        <v>-952659.8200000003</v>
      </c>
      <c r="H19" s="37">
        <f t="shared" si="3"/>
        <v>94.879098352174111</v>
      </c>
      <c r="I19" s="37">
        <f t="shared" si="4"/>
        <v>52.906319997863449</v>
      </c>
    </row>
    <row r="20" spans="1:9" ht="14.25" customHeight="1">
      <c r="A20" s="14" t="s">
        <v>77</v>
      </c>
      <c r="B20" s="15"/>
      <c r="C20" s="16">
        <v>32088300</v>
      </c>
      <c r="D20" s="16">
        <v>33362179</v>
      </c>
      <c r="E20" s="16">
        <f>18546082+57279</f>
        <v>18603361</v>
      </c>
      <c r="F20" s="16">
        <v>17650701.18</v>
      </c>
      <c r="G20" s="16">
        <f t="shared" si="2"/>
        <v>-952659.8200000003</v>
      </c>
      <c r="H20" s="38">
        <f t="shared" si="3"/>
        <v>94.879098352174111</v>
      </c>
      <c r="I20" s="38">
        <f t="shared" si="4"/>
        <v>52.906319997863449</v>
      </c>
    </row>
    <row r="21" spans="1:9" s="17" customFormat="1" ht="38.25">
      <c r="A21" s="11" t="s">
        <v>78</v>
      </c>
      <c r="B21" s="12"/>
      <c r="C21" s="13">
        <f>C23+C22</f>
        <v>67144500</v>
      </c>
      <c r="D21" s="13">
        <f>D23+D22+D24</f>
        <v>74462849.849999994</v>
      </c>
      <c r="E21" s="13">
        <f t="shared" ref="E21:F21" si="12">E23+E22+E24</f>
        <v>13413021</v>
      </c>
      <c r="F21" s="13">
        <f t="shared" si="12"/>
        <v>13234821</v>
      </c>
      <c r="G21" s="13">
        <f t="shared" si="2"/>
        <v>-178200</v>
      </c>
      <c r="H21" s="37">
        <f t="shared" si="3"/>
        <v>98.67144023706517</v>
      </c>
      <c r="I21" s="37">
        <f t="shared" si="4"/>
        <v>17.773723442845103</v>
      </c>
    </row>
    <row r="22" spans="1:9">
      <c r="A22" s="14" t="s">
        <v>103</v>
      </c>
      <c r="B22" s="15"/>
      <c r="C22" s="16">
        <v>43755500</v>
      </c>
      <c r="D22" s="16">
        <v>51059149.850000001</v>
      </c>
      <c r="E22" s="16">
        <v>1750221</v>
      </c>
      <c r="F22" s="16">
        <v>1750221</v>
      </c>
      <c r="G22" s="16">
        <f t="shared" si="2"/>
        <v>0</v>
      </c>
      <c r="H22" s="38">
        <f t="shared" si="3"/>
        <v>100</v>
      </c>
      <c r="I22" s="38">
        <f t="shared" si="4"/>
        <v>3.4278302814319184</v>
      </c>
    </row>
    <row r="23" spans="1:9" ht="15.75" customHeight="1">
      <c r="A23" s="14" t="s">
        <v>77</v>
      </c>
      <c r="B23" s="15"/>
      <c r="C23" s="16">
        <v>23389000</v>
      </c>
      <c r="D23" s="16">
        <v>23225505</v>
      </c>
      <c r="E23" s="16">
        <v>11484605</v>
      </c>
      <c r="F23" s="16">
        <v>11484600</v>
      </c>
      <c r="G23" s="16">
        <f t="shared" si="2"/>
        <v>-5</v>
      </c>
      <c r="H23" s="38">
        <f t="shared" si="3"/>
        <v>99.999956463456954</v>
      </c>
      <c r="I23" s="38">
        <f t="shared" si="4"/>
        <v>49.448225130088666</v>
      </c>
    </row>
    <row r="24" spans="1:9" ht="25.5">
      <c r="A24" s="14" t="s">
        <v>7</v>
      </c>
      <c r="B24" s="15"/>
      <c r="C24" s="16"/>
      <c r="D24" s="16">
        <v>178195</v>
      </c>
      <c r="E24" s="16">
        <v>178195</v>
      </c>
      <c r="F24" s="16"/>
      <c r="G24" s="16">
        <f t="shared" ref="G24" si="13">F24-E24</f>
        <v>-178195</v>
      </c>
      <c r="H24" s="38">
        <f t="shared" si="3"/>
        <v>0</v>
      </c>
      <c r="I24" s="38">
        <f t="shared" si="4"/>
        <v>0</v>
      </c>
    </row>
    <row r="25" spans="1:9" ht="25.5" customHeight="1">
      <c r="A25" s="18" t="s">
        <v>85</v>
      </c>
      <c r="B25" s="12" t="s">
        <v>20</v>
      </c>
      <c r="C25" s="13">
        <f>SUM(C26:C28)</f>
        <v>2240634</v>
      </c>
      <c r="D25" s="13">
        <f t="shared" ref="D25:F25" si="14">SUM(D26:D28)</f>
        <v>2240634</v>
      </c>
      <c r="E25" s="13">
        <f t="shared" si="14"/>
        <v>1259634</v>
      </c>
      <c r="F25" s="13">
        <f t="shared" si="14"/>
        <v>1171438</v>
      </c>
      <c r="G25" s="13">
        <f t="shared" si="2"/>
        <v>-88196</v>
      </c>
      <c r="H25" s="37">
        <f t="shared" si="3"/>
        <v>92.99828362841906</v>
      </c>
      <c r="I25" s="37">
        <f t="shared" si="4"/>
        <v>52.281541742203316</v>
      </c>
    </row>
    <row r="26" spans="1:9" ht="15.75" customHeight="1">
      <c r="A26" s="19" t="s">
        <v>95</v>
      </c>
      <c r="B26" s="15"/>
      <c r="C26" s="16">
        <v>760634</v>
      </c>
      <c r="D26" s="16">
        <v>760634</v>
      </c>
      <c r="E26" s="16">
        <v>760634</v>
      </c>
      <c r="F26" s="16">
        <v>760438</v>
      </c>
      <c r="G26" s="16">
        <f t="shared" si="2"/>
        <v>-196</v>
      </c>
      <c r="H26" s="38">
        <f t="shared" si="3"/>
        <v>99.974232022234091</v>
      </c>
      <c r="I26" s="38">
        <f t="shared" si="4"/>
        <v>99.974232022234091</v>
      </c>
    </row>
    <row r="27" spans="1:9">
      <c r="A27" s="20" t="s">
        <v>101</v>
      </c>
      <c r="B27" s="15"/>
      <c r="C27" s="16">
        <v>1318000</v>
      </c>
      <c r="D27" s="16">
        <v>1318000</v>
      </c>
      <c r="E27" s="16">
        <v>499000</v>
      </c>
      <c r="F27" s="16">
        <v>411000</v>
      </c>
      <c r="G27" s="16">
        <f t="shared" si="2"/>
        <v>-88000</v>
      </c>
      <c r="H27" s="38">
        <f t="shared" si="3"/>
        <v>82.364729458917836</v>
      </c>
      <c r="I27" s="38">
        <f t="shared" si="4"/>
        <v>31.183611532625189</v>
      </c>
    </row>
    <row r="28" spans="1:9">
      <c r="A28" s="14" t="s">
        <v>10</v>
      </c>
      <c r="B28" s="15"/>
      <c r="C28" s="16">
        <v>162000</v>
      </c>
      <c r="D28" s="16">
        <v>162000</v>
      </c>
      <c r="E28" s="16">
        <v>0</v>
      </c>
      <c r="F28" s="16">
        <v>0</v>
      </c>
      <c r="G28" s="16">
        <f t="shared" si="2"/>
        <v>0</v>
      </c>
      <c r="H28" s="38">
        <v>0</v>
      </c>
      <c r="I28" s="38">
        <f t="shared" si="4"/>
        <v>0</v>
      </c>
    </row>
    <row r="29" spans="1:9" ht="25.5" customHeight="1">
      <c r="A29" s="11" t="s">
        <v>102</v>
      </c>
      <c r="B29" s="12" t="s">
        <v>66</v>
      </c>
      <c r="C29" s="13">
        <f>C30+C33</f>
        <v>581694516</v>
      </c>
      <c r="D29" s="13">
        <f>D30+D33</f>
        <v>587247034</v>
      </c>
      <c r="E29" s="13">
        <f>E30+E33</f>
        <v>319348968</v>
      </c>
      <c r="F29" s="13">
        <f>F30+F33</f>
        <v>295030982.56</v>
      </c>
      <c r="G29" s="13">
        <f t="shared" si="2"/>
        <v>-24317985.439999998</v>
      </c>
      <c r="H29" s="37">
        <f t="shared" si="3"/>
        <v>92.385137302212911</v>
      </c>
      <c r="I29" s="37">
        <f t="shared" si="4"/>
        <v>50.239671803944773</v>
      </c>
    </row>
    <row r="30" spans="1:9" ht="25.5">
      <c r="A30" s="11" t="s">
        <v>67</v>
      </c>
      <c r="B30" s="12" t="s">
        <v>68</v>
      </c>
      <c r="C30" s="13">
        <f>C31+C32</f>
        <v>558177016</v>
      </c>
      <c r="D30" s="13">
        <f>SUM(D31:D32)</f>
        <v>563372064</v>
      </c>
      <c r="E30" s="13">
        <f>SUM(E31:E32)</f>
        <v>304620178</v>
      </c>
      <c r="F30" s="13">
        <f>SUM(F31:F32)</f>
        <v>282624009.19</v>
      </c>
      <c r="G30" s="13">
        <f t="shared" si="2"/>
        <v>-21996168.810000002</v>
      </c>
      <c r="H30" s="37">
        <f t="shared" si="3"/>
        <v>92.779149117955015</v>
      </c>
      <c r="I30" s="37">
        <f t="shared" si="4"/>
        <v>50.166493379764034</v>
      </c>
    </row>
    <row r="31" spans="1:9">
      <c r="A31" s="20" t="s">
        <v>101</v>
      </c>
      <c r="B31" s="15"/>
      <c r="C31" s="16">
        <v>558177016</v>
      </c>
      <c r="D31" s="16">
        <v>559194092</v>
      </c>
      <c r="E31" s="16">
        <f>31218479+123674+13088479+21824+5609372+12051454+971300+7719100+171406+3308186+12597630+8019250+1075270+3020050+57916101+23881650+10235500+91228945+12644500+521000+390000+5415100+370338+607999+2153000+260571</f>
        <v>304620178</v>
      </c>
      <c r="F31" s="16">
        <v>282624009.19</v>
      </c>
      <c r="G31" s="16">
        <f t="shared" si="2"/>
        <v>-21996168.810000002</v>
      </c>
      <c r="H31" s="38">
        <f t="shared" si="3"/>
        <v>92.779149117955015</v>
      </c>
      <c r="I31" s="38">
        <f t="shared" si="4"/>
        <v>50.541308149228449</v>
      </c>
    </row>
    <row r="32" spans="1:9" ht="25.5">
      <c r="A32" s="14" t="s">
        <v>100</v>
      </c>
      <c r="B32" s="15"/>
      <c r="C32" s="16">
        <v>0</v>
      </c>
      <c r="D32" s="16">
        <v>4177972</v>
      </c>
      <c r="E32" s="16">
        <v>0</v>
      </c>
      <c r="F32" s="16">
        <v>0</v>
      </c>
      <c r="G32" s="16">
        <f t="shared" si="2"/>
        <v>0</v>
      </c>
      <c r="H32" s="38">
        <v>0</v>
      </c>
      <c r="I32" s="38">
        <f t="shared" si="4"/>
        <v>0</v>
      </c>
    </row>
    <row r="33" spans="1:9">
      <c r="A33" s="11" t="s">
        <v>64</v>
      </c>
      <c r="B33" s="12" t="s">
        <v>69</v>
      </c>
      <c r="C33" s="13">
        <f t="shared" ref="C33:E33" si="15">C34</f>
        <v>23517500</v>
      </c>
      <c r="D33" s="13">
        <f t="shared" si="15"/>
        <v>23874970</v>
      </c>
      <c r="E33" s="13">
        <f t="shared" si="15"/>
        <v>14728790</v>
      </c>
      <c r="F33" s="13">
        <f>F34</f>
        <v>12406973.369999999</v>
      </c>
      <c r="G33" s="13">
        <f t="shared" si="2"/>
        <v>-2321816.6300000008</v>
      </c>
      <c r="H33" s="37">
        <f t="shared" si="3"/>
        <v>84.236202498643806</v>
      </c>
      <c r="I33" s="37">
        <f t="shared" si="4"/>
        <v>51.966445905481763</v>
      </c>
    </row>
    <row r="34" spans="1:9">
      <c r="A34" s="20" t="s">
        <v>101</v>
      </c>
      <c r="B34" s="15"/>
      <c r="C34" s="16">
        <v>23517500</v>
      </c>
      <c r="D34" s="16">
        <v>23874970</v>
      </c>
      <c r="E34" s="16">
        <f>14338740+390050</f>
        <v>14728790</v>
      </c>
      <c r="F34" s="16">
        <v>12406973.369999999</v>
      </c>
      <c r="G34" s="16">
        <f t="shared" si="2"/>
        <v>-2321816.6300000008</v>
      </c>
      <c r="H34" s="38">
        <f t="shared" si="3"/>
        <v>84.236202498643806</v>
      </c>
      <c r="I34" s="38">
        <f t="shared" si="4"/>
        <v>51.966445905481763</v>
      </c>
    </row>
    <row r="35" spans="1:9" ht="27.75" customHeight="1">
      <c r="A35" s="11" t="s">
        <v>86</v>
      </c>
      <c r="B35" s="12" t="s">
        <v>37</v>
      </c>
      <c r="C35" s="13">
        <f>C36+C39</f>
        <v>518990124</v>
      </c>
      <c r="D35" s="13">
        <f>D36+D39</f>
        <v>555838427</v>
      </c>
      <c r="E35" s="13">
        <f>E36+E39</f>
        <v>282935477</v>
      </c>
      <c r="F35" s="13">
        <f>F36+F39</f>
        <v>261777510.14999998</v>
      </c>
      <c r="G35" s="13">
        <f t="shared" si="2"/>
        <v>-21157966.850000024</v>
      </c>
      <c r="H35" s="37">
        <f t="shared" si="3"/>
        <v>92.521981663685111</v>
      </c>
      <c r="I35" s="37">
        <f t="shared" si="4"/>
        <v>47.095972036852352</v>
      </c>
    </row>
    <row r="36" spans="1:9" ht="25.5">
      <c r="A36" s="11" t="s">
        <v>73</v>
      </c>
      <c r="B36" s="12" t="s">
        <v>38</v>
      </c>
      <c r="C36" s="13">
        <f>SUM(C37:C38)</f>
        <v>500248024</v>
      </c>
      <c r="D36" s="13">
        <f t="shared" ref="D36:F36" si="16">SUM(D37:D38)</f>
        <v>510217682</v>
      </c>
      <c r="E36" s="13">
        <f t="shared" si="16"/>
        <v>271886172</v>
      </c>
      <c r="F36" s="13">
        <f t="shared" si="16"/>
        <v>250965144.25999999</v>
      </c>
      <c r="G36" s="13">
        <f t="shared" si="2"/>
        <v>-20921027.74000001</v>
      </c>
      <c r="H36" s="37">
        <f t="shared" si="3"/>
        <v>92.305225533867898</v>
      </c>
      <c r="I36" s="37">
        <f t="shared" si="4"/>
        <v>49.187857088026206</v>
      </c>
    </row>
    <row r="37" spans="1:9" ht="25.5">
      <c r="A37" s="14" t="s">
        <v>95</v>
      </c>
      <c r="B37" s="15"/>
      <c r="C37" s="16">
        <v>299170</v>
      </c>
      <c r="D37" s="16">
        <v>299170</v>
      </c>
      <c r="E37" s="16">
        <v>151270</v>
      </c>
      <c r="F37" s="16">
        <v>131872.5</v>
      </c>
      <c r="G37" s="16">
        <f t="shared" si="2"/>
        <v>-19397.5</v>
      </c>
      <c r="H37" s="38">
        <f t="shared" si="3"/>
        <v>87.17690222780459</v>
      </c>
      <c r="I37" s="38">
        <f t="shared" si="4"/>
        <v>44.079453153725304</v>
      </c>
    </row>
    <row r="38" spans="1:9">
      <c r="A38" s="14" t="s">
        <v>10</v>
      </c>
      <c r="B38" s="15"/>
      <c r="C38" s="16">
        <v>499948854</v>
      </c>
      <c r="D38" s="16">
        <v>509918512</v>
      </c>
      <c r="E38" s="16">
        <f>484154+226142+96918+266168315+1780000+1761101+1099640+118632</f>
        <v>271734902</v>
      </c>
      <c r="F38" s="16">
        <v>250833271.75999999</v>
      </c>
      <c r="G38" s="16">
        <f t="shared" si="2"/>
        <v>-20901630.24000001</v>
      </c>
      <c r="H38" s="38">
        <f t="shared" si="3"/>
        <v>92.308080380487894</v>
      </c>
      <c r="I38" s="38">
        <f t="shared" si="4"/>
        <v>49.190854196719179</v>
      </c>
    </row>
    <row r="39" spans="1:9" ht="25.5">
      <c r="A39" s="11" t="s">
        <v>39</v>
      </c>
      <c r="B39" s="12" t="s">
        <v>40</v>
      </c>
      <c r="C39" s="13">
        <f>SUM(C40:C41)</f>
        <v>18742100</v>
      </c>
      <c r="D39" s="13">
        <f t="shared" ref="D39:F39" si="17">SUM(D40:D41)</f>
        <v>45620745</v>
      </c>
      <c r="E39" s="13">
        <f t="shared" si="17"/>
        <v>11049305</v>
      </c>
      <c r="F39" s="13">
        <f t="shared" si="17"/>
        <v>10812365.889999999</v>
      </c>
      <c r="G39" s="13">
        <f t="shared" si="2"/>
        <v>-236939.11000000127</v>
      </c>
      <c r="H39" s="37">
        <f t="shared" si="3"/>
        <v>97.855619787850898</v>
      </c>
      <c r="I39" s="37">
        <f t="shared" si="4"/>
        <v>23.700546516721722</v>
      </c>
    </row>
    <row r="40" spans="1:9">
      <c r="A40" s="14" t="s">
        <v>10</v>
      </c>
      <c r="B40" s="15"/>
      <c r="C40" s="16">
        <v>18742100</v>
      </c>
      <c r="D40" s="16">
        <v>19048144</v>
      </c>
      <c r="E40" s="16">
        <f>10441603+272350</f>
        <v>10713953</v>
      </c>
      <c r="F40" s="16">
        <v>10644690.289999999</v>
      </c>
      <c r="G40" s="16">
        <f t="shared" si="2"/>
        <v>-69262.710000000894</v>
      </c>
      <c r="H40" s="38">
        <f t="shared" si="3"/>
        <v>99.3535279648884</v>
      </c>
      <c r="I40" s="38">
        <f t="shared" si="4"/>
        <v>55.883083884708128</v>
      </c>
    </row>
    <row r="41" spans="1:9" ht="25.5">
      <c r="A41" s="14" t="s">
        <v>100</v>
      </c>
      <c r="B41" s="15"/>
      <c r="C41" s="16"/>
      <c r="D41" s="16">
        <v>26572601</v>
      </c>
      <c r="E41" s="16">
        <v>335352</v>
      </c>
      <c r="F41" s="16">
        <v>167675.6</v>
      </c>
      <c r="G41" s="16">
        <f t="shared" si="2"/>
        <v>-167676.4</v>
      </c>
      <c r="H41" s="38">
        <f t="shared" si="3"/>
        <v>49.99988072234548</v>
      </c>
      <c r="I41" s="38">
        <f t="shared" si="4"/>
        <v>0.63100936186111412</v>
      </c>
    </row>
    <row r="42" spans="1:9" ht="29.25" customHeight="1">
      <c r="A42" s="11" t="s">
        <v>98</v>
      </c>
      <c r="B42" s="12" t="s">
        <v>30</v>
      </c>
      <c r="C42" s="13">
        <f t="shared" ref="C42:E42" si="18">C43+C45+C49</f>
        <v>245372240</v>
      </c>
      <c r="D42" s="13">
        <f t="shared" si="18"/>
        <v>507162512.39999998</v>
      </c>
      <c r="E42" s="13">
        <f t="shared" si="18"/>
        <v>132169227</v>
      </c>
      <c r="F42" s="13">
        <f>F43+F45+F49</f>
        <v>104904312.73999999</v>
      </c>
      <c r="G42" s="13">
        <f t="shared" si="2"/>
        <v>-27264914.260000005</v>
      </c>
      <c r="H42" s="37">
        <f t="shared" si="3"/>
        <v>79.371208503776742</v>
      </c>
      <c r="I42" s="37">
        <f t="shared" si="4"/>
        <v>20.684555773566675</v>
      </c>
    </row>
    <row r="43" spans="1:9">
      <c r="A43" s="11" t="s">
        <v>31</v>
      </c>
      <c r="B43" s="12" t="s">
        <v>32</v>
      </c>
      <c r="C43" s="13">
        <f t="shared" ref="C43:E43" si="19">C44</f>
        <v>129571387</v>
      </c>
      <c r="D43" s="13">
        <f t="shared" si="19"/>
        <v>140590016</v>
      </c>
      <c r="E43" s="13">
        <f t="shared" si="19"/>
        <v>64996353</v>
      </c>
      <c r="F43" s="13">
        <f>F44</f>
        <v>57783029.419999994</v>
      </c>
      <c r="G43" s="13">
        <f t="shared" si="2"/>
        <v>-7213323.5800000057</v>
      </c>
      <c r="H43" s="37">
        <f t="shared" si="3"/>
        <v>88.901956422078015</v>
      </c>
      <c r="I43" s="37">
        <f t="shared" si="4"/>
        <v>41.100379005576038</v>
      </c>
    </row>
    <row r="44" spans="1:9" ht="25.5">
      <c r="A44" s="14" t="s">
        <v>100</v>
      </c>
      <c r="B44" s="15"/>
      <c r="C44" s="16">
        <v>129571387</v>
      </c>
      <c r="D44" s="16">
        <v>140590016</v>
      </c>
      <c r="E44" s="16">
        <f>4091911+18566784+41349133+901600+86925</f>
        <v>64996353</v>
      </c>
      <c r="F44" s="16">
        <v>57783029.419999994</v>
      </c>
      <c r="G44" s="16">
        <f t="shared" si="2"/>
        <v>-7213323.5800000057</v>
      </c>
      <c r="H44" s="38">
        <f t="shared" si="3"/>
        <v>88.901956422078015</v>
      </c>
      <c r="I44" s="38">
        <f t="shared" si="4"/>
        <v>41.100379005576038</v>
      </c>
    </row>
    <row r="45" spans="1:9" ht="27" customHeight="1">
      <c r="A45" s="11" t="s">
        <v>33</v>
      </c>
      <c r="B45" s="12" t="s">
        <v>34</v>
      </c>
      <c r="C45" s="13">
        <f>SUM(C46:C48)</f>
        <v>102025130</v>
      </c>
      <c r="D45" s="13">
        <f>SUM(D46:D48)</f>
        <v>354879836</v>
      </c>
      <c r="E45" s="13">
        <f t="shared" ref="E45:F45" si="20">SUM(E46:E48)</f>
        <v>67172874</v>
      </c>
      <c r="F45" s="13">
        <f t="shared" si="20"/>
        <v>47121283.32</v>
      </c>
      <c r="G45" s="13">
        <f t="shared" si="2"/>
        <v>-20051590.68</v>
      </c>
      <c r="H45" s="37">
        <f t="shared" si="3"/>
        <v>70.149273827408365</v>
      </c>
      <c r="I45" s="37">
        <f t="shared" si="4"/>
        <v>13.278095439606775</v>
      </c>
    </row>
    <row r="46" spans="1:9">
      <c r="A46" s="14" t="s">
        <v>103</v>
      </c>
      <c r="B46" s="15"/>
      <c r="C46" s="16">
        <v>41551200</v>
      </c>
      <c r="D46" s="16">
        <v>272428644</v>
      </c>
      <c r="E46" s="16">
        <f>36789979+12801416+4547138</f>
        <v>54138533</v>
      </c>
      <c r="F46" s="16">
        <v>47023009.460000001</v>
      </c>
      <c r="G46" s="16">
        <f t="shared" si="2"/>
        <v>-7115523.5399999991</v>
      </c>
      <c r="H46" s="38">
        <f t="shared" si="3"/>
        <v>86.856822404109096</v>
      </c>
      <c r="I46" s="38">
        <f t="shared" si="4"/>
        <v>17.2606700857785</v>
      </c>
    </row>
    <row r="47" spans="1:9" ht="25.5">
      <c r="A47" s="14" t="s">
        <v>100</v>
      </c>
      <c r="B47" s="15"/>
      <c r="C47" s="16">
        <v>18890630</v>
      </c>
      <c r="D47" s="16">
        <v>15868274</v>
      </c>
      <c r="E47" s="16">
        <v>98274</v>
      </c>
      <c r="F47" s="16">
        <v>98273.86</v>
      </c>
      <c r="G47" s="16">
        <f t="shared" si="2"/>
        <v>-0.13999999999941792</v>
      </c>
      <c r="H47" s="38">
        <f t="shared" si="3"/>
        <v>99.999857541160424</v>
      </c>
      <c r="I47" s="38">
        <f t="shared" si="4"/>
        <v>0.61931032952922294</v>
      </c>
    </row>
    <row r="48" spans="1:9" ht="25.5">
      <c r="A48" s="14" t="s">
        <v>7</v>
      </c>
      <c r="B48" s="15"/>
      <c r="C48" s="16">
        <v>41583300</v>
      </c>
      <c r="D48" s="16">
        <v>66582918</v>
      </c>
      <c r="E48" s="16">
        <f>11513100+1422967</f>
        <v>12936067</v>
      </c>
      <c r="F48" s="16">
        <v>0</v>
      </c>
      <c r="G48" s="16">
        <f t="shared" si="2"/>
        <v>-12936067</v>
      </c>
      <c r="H48" s="38">
        <f t="shared" si="3"/>
        <v>0</v>
      </c>
      <c r="I48" s="38">
        <f t="shared" si="4"/>
        <v>0</v>
      </c>
    </row>
    <row r="49" spans="1:9" s="17" customFormat="1" ht="25.5">
      <c r="A49" s="11" t="s">
        <v>35</v>
      </c>
      <c r="B49" s="12" t="s">
        <v>36</v>
      </c>
      <c r="C49" s="13">
        <f>C51+C50</f>
        <v>13775723</v>
      </c>
      <c r="D49" s="13">
        <f>SUM(D50:D52)</f>
        <v>11692660.4</v>
      </c>
      <c r="E49" s="13">
        <f t="shared" ref="E49:F49" si="21">SUM(E50:E52)</f>
        <v>0</v>
      </c>
      <c r="F49" s="13">
        <f t="shared" si="21"/>
        <v>0</v>
      </c>
      <c r="G49" s="13">
        <f t="shared" si="2"/>
        <v>0</v>
      </c>
      <c r="H49" s="37">
        <v>0</v>
      </c>
      <c r="I49" s="37">
        <f t="shared" si="4"/>
        <v>0</v>
      </c>
    </row>
    <row r="50" spans="1:9">
      <c r="A50" s="14" t="s">
        <v>103</v>
      </c>
      <c r="B50" s="15"/>
      <c r="C50" s="16">
        <v>11738300</v>
      </c>
      <c r="D50" s="16">
        <v>0</v>
      </c>
      <c r="E50" s="16">
        <v>0</v>
      </c>
      <c r="F50" s="16">
        <v>0</v>
      </c>
      <c r="G50" s="16">
        <f t="shared" si="2"/>
        <v>0</v>
      </c>
      <c r="H50" s="38">
        <v>0</v>
      </c>
      <c r="I50" s="38">
        <v>0</v>
      </c>
    </row>
    <row r="51" spans="1:9" ht="25.5">
      <c r="A51" s="14" t="s">
        <v>95</v>
      </c>
      <c r="B51" s="15"/>
      <c r="C51" s="16">
        <v>2037423</v>
      </c>
      <c r="D51" s="16">
        <v>1387260.4</v>
      </c>
      <c r="E51" s="16">
        <v>0</v>
      </c>
      <c r="F51" s="16">
        <v>0</v>
      </c>
      <c r="G51" s="16">
        <f t="shared" si="2"/>
        <v>0</v>
      </c>
      <c r="H51" s="38">
        <v>0</v>
      </c>
      <c r="I51" s="38">
        <f t="shared" si="4"/>
        <v>0</v>
      </c>
    </row>
    <row r="52" spans="1:9" ht="25.5">
      <c r="A52" s="14" t="s">
        <v>7</v>
      </c>
      <c r="B52" s="15"/>
      <c r="C52" s="16">
        <v>0</v>
      </c>
      <c r="D52" s="16">
        <v>10305400</v>
      </c>
      <c r="E52" s="16">
        <v>0</v>
      </c>
      <c r="F52" s="16">
        <v>0</v>
      </c>
      <c r="G52" s="16">
        <f t="shared" si="2"/>
        <v>0</v>
      </c>
      <c r="H52" s="38">
        <v>0</v>
      </c>
      <c r="I52" s="38">
        <f t="shared" si="4"/>
        <v>0</v>
      </c>
    </row>
    <row r="53" spans="1:9" ht="25.5" customHeight="1">
      <c r="A53" s="11" t="s">
        <v>105</v>
      </c>
      <c r="B53" s="12" t="s">
        <v>55</v>
      </c>
      <c r="C53" s="13">
        <f>C54+C57+C60+C66+C73</f>
        <v>614009100</v>
      </c>
      <c r="D53" s="13">
        <f>D54+D57+D60+D66+D73+D76</f>
        <v>925127933</v>
      </c>
      <c r="E53" s="13">
        <f>E54+E57+E60+E66+E73</f>
        <v>328017226</v>
      </c>
      <c r="F53" s="13">
        <f>F54+F57+F60+F66+F73</f>
        <v>210757998.31999999</v>
      </c>
      <c r="G53" s="13">
        <f t="shared" si="2"/>
        <v>-117259227.68000001</v>
      </c>
      <c r="H53" s="37">
        <f t="shared" si="3"/>
        <v>64.252112881413126</v>
      </c>
      <c r="I53" s="37">
        <f t="shared" si="4"/>
        <v>22.781497650444415</v>
      </c>
    </row>
    <row r="54" spans="1:9" ht="26.25" customHeight="1">
      <c r="A54" s="11" t="s">
        <v>56</v>
      </c>
      <c r="B54" s="12" t="s">
        <v>57</v>
      </c>
      <c r="C54" s="13">
        <f>SUM(C56:C56)</f>
        <v>107425300</v>
      </c>
      <c r="D54" s="13">
        <f t="shared" ref="D54:F54" si="22">SUM(D55:D56)</f>
        <v>394869548</v>
      </c>
      <c r="E54" s="13">
        <f t="shared" si="22"/>
        <v>105566666</v>
      </c>
      <c r="F54" s="13">
        <f t="shared" si="22"/>
        <v>44893681.710000001</v>
      </c>
      <c r="G54" s="13">
        <f t="shared" si="2"/>
        <v>-60672984.289999999</v>
      </c>
      <c r="H54" s="37">
        <f t="shared" si="3"/>
        <v>42.526380164359843</v>
      </c>
      <c r="I54" s="37">
        <f t="shared" si="4"/>
        <v>11.369243826824549</v>
      </c>
    </row>
    <row r="55" spans="1:9" ht="25.5" customHeight="1">
      <c r="A55" s="14" t="s">
        <v>100</v>
      </c>
      <c r="B55" s="15"/>
      <c r="D55" s="16">
        <v>232413319</v>
      </c>
      <c r="E55" s="16">
        <f>665392+2693981</f>
        <v>3359373</v>
      </c>
      <c r="F55" s="16">
        <v>931071.08</v>
      </c>
      <c r="G55" s="16">
        <f t="shared" si="2"/>
        <v>-2428301.92</v>
      </c>
      <c r="H55" s="38">
        <f t="shared" si="3"/>
        <v>27.715620742323043</v>
      </c>
      <c r="I55" s="38">
        <f t="shared" si="4"/>
        <v>0.40061003560643615</v>
      </c>
    </row>
    <row r="56" spans="1:9" ht="25.5">
      <c r="A56" s="14" t="s">
        <v>7</v>
      </c>
      <c r="B56" s="15"/>
      <c r="C56" s="16">
        <v>107425300</v>
      </c>
      <c r="D56" s="16">
        <v>162456229</v>
      </c>
      <c r="E56" s="16">
        <f>5369687+266000+30976506+49196300+16398800</f>
        <v>102207293</v>
      </c>
      <c r="F56" s="16">
        <v>43962610.630000003</v>
      </c>
      <c r="G56" s="16">
        <f t="shared" si="2"/>
        <v>-58244682.369999997</v>
      </c>
      <c r="H56" s="38">
        <f t="shared" si="3"/>
        <v>43.013183638470892</v>
      </c>
      <c r="I56" s="38">
        <f t="shared" si="4"/>
        <v>27.061203439604647</v>
      </c>
    </row>
    <row r="57" spans="1:9" ht="25.5">
      <c r="A57" s="11" t="s">
        <v>58</v>
      </c>
      <c r="B57" s="12" t="s">
        <v>59</v>
      </c>
      <c r="C57" s="13">
        <f>SUM(C58:C59)</f>
        <v>26995800</v>
      </c>
      <c r="D57" s="13">
        <f t="shared" ref="D57:E57" si="23">SUM(D58:D59)</f>
        <v>35455376</v>
      </c>
      <c r="E57" s="13">
        <f t="shared" si="23"/>
        <v>11323310</v>
      </c>
      <c r="F57" s="13">
        <f>SUM(F58:F59)</f>
        <v>3398205.7800000003</v>
      </c>
      <c r="G57" s="13">
        <f t="shared" si="2"/>
        <v>-7925104.2199999997</v>
      </c>
      <c r="H57" s="37">
        <f t="shared" si="3"/>
        <v>30.01071047246786</v>
      </c>
      <c r="I57" s="37">
        <f t="shared" si="4"/>
        <v>9.5844584471477621</v>
      </c>
    </row>
    <row r="58" spans="1:9">
      <c r="A58" s="14" t="s">
        <v>103</v>
      </c>
      <c r="B58" s="15"/>
      <c r="C58" s="16">
        <v>1725700</v>
      </c>
      <c r="D58" s="16">
        <v>1626383</v>
      </c>
      <c r="E58" s="16">
        <v>694127</v>
      </c>
      <c r="F58" s="16">
        <v>694126.53</v>
      </c>
      <c r="G58" s="16">
        <f t="shared" si="2"/>
        <v>-0.46999999997206032</v>
      </c>
      <c r="H58" s="38">
        <f t="shared" si="3"/>
        <v>99.999932289047976</v>
      </c>
      <c r="I58" s="38">
        <f t="shared" si="4"/>
        <v>42.679155524867149</v>
      </c>
    </row>
    <row r="59" spans="1:9" ht="25.5">
      <c r="A59" s="14" t="s">
        <v>7</v>
      </c>
      <c r="B59" s="15"/>
      <c r="C59" s="16">
        <v>25270100</v>
      </c>
      <c r="D59" s="39">
        <v>33828993</v>
      </c>
      <c r="E59" s="16">
        <f>3969133+6660050</f>
        <v>10629183</v>
      </c>
      <c r="F59" s="16">
        <v>2704079.25</v>
      </c>
      <c r="G59" s="16">
        <f t="shared" si="2"/>
        <v>-7925103.75</v>
      </c>
      <c r="H59" s="38">
        <f t="shared" si="3"/>
        <v>25.440142012796279</v>
      </c>
      <c r="I59" s="38">
        <f t="shared" si="4"/>
        <v>7.9933778992475473</v>
      </c>
    </row>
    <row r="60" spans="1:9">
      <c r="A60" s="11" t="s">
        <v>60</v>
      </c>
      <c r="B60" s="12" t="s">
        <v>61</v>
      </c>
      <c r="C60" s="13">
        <f>SUM(C61:C65)</f>
        <v>261151200</v>
      </c>
      <c r="D60" s="13">
        <f>SUM(D61:D65)</f>
        <v>202188280</v>
      </c>
      <c r="E60" s="13">
        <f>SUM(E61:E65)</f>
        <v>80547411</v>
      </c>
      <c r="F60" s="13">
        <f>SUM(F61:F65)</f>
        <v>52449951.719999999</v>
      </c>
      <c r="G60" s="21">
        <f t="shared" si="2"/>
        <v>-28097459.280000001</v>
      </c>
      <c r="H60" s="37">
        <f t="shared" si="3"/>
        <v>65.116868523558125</v>
      </c>
      <c r="I60" s="37">
        <f t="shared" si="4"/>
        <v>25.941143433239549</v>
      </c>
    </row>
    <row r="61" spans="1:9" ht="25.5">
      <c r="A61" s="14" t="s">
        <v>95</v>
      </c>
      <c r="B61" s="15"/>
      <c r="C61" s="16">
        <v>980331</v>
      </c>
      <c r="D61" s="16">
        <v>980331</v>
      </c>
      <c r="E61" s="16">
        <v>408797</v>
      </c>
      <c r="F61" s="16">
        <v>302316.84000000003</v>
      </c>
      <c r="G61" s="22">
        <f t="shared" ref="G61:G64" si="24">F61-E61</f>
        <v>-106480.15999999997</v>
      </c>
      <c r="H61" s="38">
        <f t="shared" si="3"/>
        <v>73.952802980452404</v>
      </c>
      <c r="I61" s="38">
        <f t="shared" si="4"/>
        <v>30.838241369496632</v>
      </c>
    </row>
    <row r="62" spans="1:9">
      <c r="A62" s="20" t="s">
        <v>101</v>
      </c>
      <c r="B62" s="15"/>
      <c r="C62" s="16">
        <v>113995</v>
      </c>
      <c r="D62" s="16">
        <v>113995</v>
      </c>
      <c r="E62" s="16">
        <v>37997</v>
      </c>
      <c r="F62" s="16">
        <v>37327.699999999997</v>
      </c>
      <c r="G62" s="22">
        <f t="shared" si="24"/>
        <v>-669.30000000000291</v>
      </c>
      <c r="H62" s="38">
        <f t="shared" si="3"/>
        <v>98.238545148301171</v>
      </c>
      <c r="I62" s="38">
        <f t="shared" si="4"/>
        <v>32.745032676871787</v>
      </c>
    </row>
    <row r="63" spans="1:9">
      <c r="A63" s="14" t="s">
        <v>10</v>
      </c>
      <c r="B63" s="15"/>
      <c r="C63" s="16">
        <v>251300</v>
      </c>
      <c r="D63" s="16">
        <v>251300</v>
      </c>
      <c r="E63" s="16">
        <v>161638</v>
      </c>
      <c r="F63" s="16">
        <v>110091.6</v>
      </c>
      <c r="G63" s="22">
        <f t="shared" si="24"/>
        <v>-51546.399999999994</v>
      </c>
      <c r="H63" s="38">
        <f t="shared" si="3"/>
        <v>68.109974139744367</v>
      </c>
      <c r="I63" s="38">
        <f t="shared" si="4"/>
        <v>43.808834062873068</v>
      </c>
    </row>
    <row r="64" spans="1:9" s="26" customFormat="1" ht="25.5">
      <c r="A64" s="30" t="s">
        <v>100</v>
      </c>
      <c r="B64" s="29"/>
      <c r="C64" s="22"/>
      <c r="D64" s="16">
        <v>1825790</v>
      </c>
      <c r="E64" s="16">
        <f>25790</f>
        <v>25790</v>
      </c>
      <c r="F64" s="16">
        <v>0</v>
      </c>
      <c r="G64" s="22">
        <f t="shared" si="24"/>
        <v>-25790</v>
      </c>
      <c r="H64" s="38">
        <f t="shared" si="3"/>
        <v>0</v>
      </c>
      <c r="I64" s="38">
        <f t="shared" si="4"/>
        <v>0</v>
      </c>
    </row>
    <row r="65" spans="1:9" s="26" customFormat="1" ht="25.5">
      <c r="A65" s="30" t="s">
        <v>7</v>
      </c>
      <c r="B65" s="29"/>
      <c r="C65" s="22">
        <v>259805574</v>
      </c>
      <c r="D65" s="16">
        <v>199016864</v>
      </c>
      <c r="E65" s="16">
        <f>383000+1200000+71199513+1783000+5347676</f>
        <v>79913189</v>
      </c>
      <c r="F65" s="16">
        <v>52000215.579999998</v>
      </c>
      <c r="G65" s="22">
        <f t="shared" si="2"/>
        <v>-27912973.420000002</v>
      </c>
      <c r="H65" s="38">
        <f t="shared" si="3"/>
        <v>65.070880327401269</v>
      </c>
      <c r="I65" s="38">
        <f t="shared" si="4"/>
        <v>26.128547367724575</v>
      </c>
    </row>
    <row r="66" spans="1:9">
      <c r="A66" s="11" t="s">
        <v>62</v>
      </c>
      <c r="B66" s="12" t="s">
        <v>63</v>
      </c>
      <c r="C66" s="13">
        <f t="shared" ref="C66:E66" si="25">SUM(C67:C72)</f>
        <v>5435000</v>
      </c>
      <c r="D66" s="13">
        <f>SUM(D67:D72)</f>
        <v>8468202</v>
      </c>
      <c r="E66" s="13">
        <f t="shared" si="25"/>
        <v>6394851</v>
      </c>
      <c r="F66" s="13">
        <f>SUM(F67:F72)</f>
        <v>6194661</v>
      </c>
      <c r="G66" s="13">
        <f t="shared" si="2"/>
        <v>-200190</v>
      </c>
      <c r="H66" s="37">
        <f t="shared" si="3"/>
        <v>96.86951267511941</v>
      </c>
      <c r="I66" s="37">
        <f t="shared" si="4"/>
        <v>73.15202211756403</v>
      </c>
    </row>
    <row r="67" spans="1:9">
      <c r="A67" s="14" t="s">
        <v>79</v>
      </c>
      <c r="B67" s="15"/>
      <c r="C67" s="16">
        <v>285000</v>
      </c>
      <c r="D67" s="16">
        <v>285000</v>
      </c>
      <c r="E67" s="16">
        <v>0</v>
      </c>
      <c r="F67" s="16">
        <v>0</v>
      </c>
      <c r="G67" s="16">
        <f t="shared" si="2"/>
        <v>0</v>
      </c>
      <c r="H67" s="38">
        <v>0</v>
      </c>
      <c r="I67" s="38">
        <f t="shared" si="4"/>
        <v>0</v>
      </c>
    </row>
    <row r="68" spans="1:9">
      <c r="A68" s="14" t="s">
        <v>103</v>
      </c>
      <c r="B68" s="15"/>
      <c r="C68" s="16"/>
      <c r="D68" s="16">
        <v>45000</v>
      </c>
      <c r="E68" s="16"/>
      <c r="F68" s="16"/>
      <c r="G68" s="16"/>
      <c r="H68" s="38">
        <v>0</v>
      </c>
      <c r="I68" s="38">
        <f t="shared" si="4"/>
        <v>0</v>
      </c>
    </row>
    <row r="69" spans="1:9" ht="25.5">
      <c r="A69" s="14" t="s">
        <v>95</v>
      </c>
      <c r="B69" s="15"/>
      <c r="C69" s="16">
        <v>2755000</v>
      </c>
      <c r="D69" s="16">
        <v>5743202</v>
      </c>
      <c r="E69" s="16">
        <v>5424851</v>
      </c>
      <c r="F69" s="16">
        <v>5424661</v>
      </c>
      <c r="G69" s="16">
        <f t="shared" si="2"/>
        <v>-190</v>
      </c>
      <c r="H69" s="38">
        <f t="shared" si="3"/>
        <v>99.996497599657573</v>
      </c>
      <c r="I69" s="38">
        <f t="shared" si="4"/>
        <v>94.453599229140821</v>
      </c>
    </row>
    <row r="70" spans="1:9">
      <c r="A70" s="20" t="s">
        <v>101</v>
      </c>
      <c r="B70" s="15"/>
      <c r="C70" s="16">
        <v>200000</v>
      </c>
      <c r="D70" s="16">
        <v>200000</v>
      </c>
      <c r="E70" s="16">
        <v>200000</v>
      </c>
      <c r="F70" s="16">
        <v>0</v>
      </c>
      <c r="G70" s="16">
        <f t="shared" si="2"/>
        <v>-200000</v>
      </c>
      <c r="H70" s="38">
        <f t="shared" ref="H70:H132" si="26">(F70/E70)*100</f>
        <v>0</v>
      </c>
      <c r="I70" s="38">
        <f t="shared" ref="I70:I132" si="27">(F70/D70)*100</f>
        <v>0</v>
      </c>
    </row>
    <row r="71" spans="1:9">
      <c r="A71" s="14" t="s">
        <v>10</v>
      </c>
      <c r="B71" s="15"/>
      <c r="C71" s="16">
        <v>795000</v>
      </c>
      <c r="D71" s="16">
        <v>795000</v>
      </c>
      <c r="E71" s="16">
        <v>770000</v>
      </c>
      <c r="F71" s="16">
        <v>770000</v>
      </c>
      <c r="G71" s="16">
        <f t="shared" si="2"/>
        <v>0</v>
      </c>
      <c r="H71" s="38">
        <f t="shared" si="26"/>
        <v>100</v>
      </c>
      <c r="I71" s="38">
        <f t="shared" si="27"/>
        <v>96.855345911949684</v>
      </c>
    </row>
    <row r="72" spans="1:9" ht="25.5">
      <c r="A72" s="14" t="s">
        <v>7</v>
      </c>
      <c r="B72" s="15"/>
      <c r="C72" s="16">
        <v>1400000</v>
      </c>
      <c r="D72" s="16">
        <v>1400000</v>
      </c>
      <c r="E72" s="16">
        <v>0</v>
      </c>
      <c r="F72" s="16">
        <v>0</v>
      </c>
      <c r="G72" s="16">
        <f t="shared" si="2"/>
        <v>0</v>
      </c>
      <c r="H72" s="38">
        <v>0</v>
      </c>
      <c r="I72" s="38">
        <f t="shared" si="27"/>
        <v>0</v>
      </c>
    </row>
    <row r="73" spans="1:9">
      <c r="A73" s="11" t="s">
        <v>64</v>
      </c>
      <c r="B73" s="12" t="s">
        <v>65</v>
      </c>
      <c r="C73" s="13">
        <f t="shared" ref="C73" si="28">C75</f>
        <v>213001800</v>
      </c>
      <c r="D73" s="13">
        <f>SUM(D74:D75)</f>
        <v>245137637</v>
      </c>
      <c r="E73" s="13">
        <f t="shared" ref="E73:F73" si="29">SUM(E74:E75)</f>
        <v>124184988</v>
      </c>
      <c r="F73" s="13">
        <f t="shared" si="29"/>
        <v>103821498.11</v>
      </c>
      <c r="G73" s="13">
        <f t="shared" si="2"/>
        <v>-20363489.890000001</v>
      </c>
      <c r="H73" s="37">
        <f t="shared" si="26"/>
        <v>83.602293467226488</v>
      </c>
      <c r="I73" s="37">
        <f t="shared" si="27"/>
        <v>42.352328830680534</v>
      </c>
    </row>
    <row r="74" spans="1:9" ht="25.5">
      <c r="A74" s="14" t="s">
        <v>100</v>
      </c>
      <c r="B74" s="15"/>
      <c r="C74" s="16">
        <v>0</v>
      </c>
      <c r="D74" s="16">
        <v>5448557</v>
      </c>
      <c r="E74" s="16">
        <v>2753713</v>
      </c>
      <c r="F74" s="16">
        <v>717545.55</v>
      </c>
      <c r="G74" s="16">
        <f t="shared" ref="G74" si="30">F74-E74</f>
        <v>-2036167.45</v>
      </c>
      <c r="H74" s="38">
        <f t="shared" si="26"/>
        <v>26.057383249452648</v>
      </c>
      <c r="I74" s="38">
        <f t="shared" si="27"/>
        <v>13.169460280951453</v>
      </c>
    </row>
    <row r="75" spans="1:9" s="26" customFormat="1" ht="25.5">
      <c r="A75" s="30" t="s">
        <v>7</v>
      </c>
      <c r="B75" s="29"/>
      <c r="C75" s="22">
        <v>213001800</v>
      </c>
      <c r="D75" s="16">
        <v>239689080</v>
      </c>
      <c r="E75" s="16">
        <f>80068111+33309059+4081650+3972455</f>
        <v>121431275</v>
      </c>
      <c r="F75" s="16">
        <v>103103952.56</v>
      </c>
      <c r="G75" s="16">
        <f t="shared" si="2"/>
        <v>-18327322.439999998</v>
      </c>
      <c r="H75" s="38">
        <f t="shared" si="26"/>
        <v>84.907246967471934</v>
      </c>
      <c r="I75" s="38">
        <f t="shared" si="27"/>
        <v>43.015707081857876</v>
      </c>
    </row>
    <row r="76" spans="1:9">
      <c r="A76" s="11" t="s">
        <v>104</v>
      </c>
      <c r="B76" s="12" t="s">
        <v>65</v>
      </c>
      <c r="C76" s="13">
        <f t="shared" ref="C76:E76" si="31">C77</f>
        <v>0</v>
      </c>
      <c r="D76" s="13">
        <f>SUM(D77:D77)</f>
        <v>39008890</v>
      </c>
      <c r="E76" s="13">
        <f t="shared" si="31"/>
        <v>0</v>
      </c>
      <c r="F76" s="13">
        <f>F77</f>
        <v>0</v>
      </c>
      <c r="G76" s="13">
        <f t="shared" ref="G76" si="32">F76-E76</f>
        <v>0</v>
      </c>
      <c r="H76" s="37">
        <v>0</v>
      </c>
      <c r="I76" s="37">
        <f t="shared" si="27"/>
        <v>0</v>
      </c>
    </row>
    <row r="77" spans="1:9" ht="25.5">
      <c r="A77" s="14" t="s">
        <v>7</v>
      </c>
      <c r="B77" s="15"/>
      <c r="C77" s="16">
        <v>0</v>
      </c>
      <c r="D77" s="16">
        <v>39008890</v>
      </c>
      <c r="E77" s="16">
        <v>0</v>
      </c>
      <c r="F77" s="16">
        <v>0</v>
      </c>
      <c r="G77" s="16">
        <f t="shared" ref="G77" si="33">F77-E77</f>
        <v>0</v>
      </c>
      <c r="H77" s="38">
        <v>0</v>
      </c>
      <c r="I77" s="38">
        <f t="shared" si="27"/>
        <v>0</v>
      </c>
    </row>
    <row r="78" spans="1:9" ht="51">
      <c r="A78" s="18" t="s">
        <v>92</v>
      </c>
      <c r="B78" s="12" t="s">
        <v>4</v>
      </c>
      <c r="C78" s="13">
        <f>C79+C83</f>
        <v>5182500</v>
      </c>
      <c r="D78" s="13">
        <f t="shared" ref="D78:F78" si="34">D79+D83</f>
        <v>15271244</v>
      </c>
      <c r="E78" s="13">
        <f t="shared" si="34"/>
        <v>2973690</v>
      </c>
      <c r="F78" s="13">
        <f t="shared" si="34"/>
        <v>1655243.85</v>
      </c>
      <c r="G78" s="13">
        <f t="shared" si="2"/>
        <v>-1318446.1499999999</v>
      </c>
      <c r="H78" s="37">
        <f t="shared" si="26"/>
        <v>55.662959151760951</v>
      </c>
      <c r="I78" s="37">
        <f t="shared" si="27"/>
        <v>10.838958830073045</v>
      </c>
    </row>
    <row r="79" spans="1:9">
      <c r="A79" s="18" t="s">
        <v>5</v>
      </c>
      <c r="B79" s="12" t="s">
        <v>6</v>
      </c>
      <c r="C79" s="13">
        <f t="shared" ref="C79" si="35">SUM(C80:C82)</f>
        <v>3182500</v>
      </c>
      <c r="D79" s="13">
        <f>SUM(D80:D82)</f>
        <v>5872460</v>
      </c>
      <c r="E79" s="13">
        <f>SUM(E80:E82)</f>
        <v>2973690</v>
      </c>
      <c r="F79" s="13">
        <f>SUM(F80:F82)</f>
        <v>1655243.85</v>
      </c>
      <c r="G79" s="13">
        <f t="shared" ref="G79:G131" si="36">F79-E79</f>
        <v>-1318446.1499999999</v>
      </c>
      <c r="H79" s="37">
        <f t="shared" si="26"/>
        <v>55.662959151760951</v>
      </c>
      <c r="I79" s="37">
        <f t="shared" si="27"/>
        <v>28.186549589098949</v>
      </c>
    </row>
    <row r="80" spans="1:9">
      <c r="A80" s="19" t="s">
        <v>79</v>
      </c>
      <c r="B80" s="15"/>
      <c r="C80" s="16">
        <v>131500</v>
      </c>
      <c r="D80" s="16">
        <v>131500</v>
      </c>
      <c r="E80" s="16">
        <f>46000+19700</f>
        <v>65700</v>
      </c>
      <c r="F80" s="16">
        <v>65700</v>
      </c>
      <c r="G80" s="16">
        <f t="shared" si="36"/>
        <v>0</v>
      </c>
      <c r="H80" s="38">
        <f t="shared" si="26"/>
        <v>100</v>
      </c>
      <c r="I80" s="38">
        <f t="shared" si="27"/>
        <v>49.961977186311785</v>
      </c>
    </row>
    <row r="81" spans="1:9" ht="25.5">
      <c r="A81" s="19" t="s">
        <v>95</v>
      </c>
      <c r="B81" s="15"/>
      <c r="C81" s="16"/>
      <c r="D81" s="16">
        <v>1110407</v>
      </c>
      <c r="E81" s="16">
        <f>747045</f>
        <v>747045</v>
      </c>
      <c r="F81" s="16">
        <v>340045</v>
      </c>
      <c r="G81" s="16">
        <f t="shared" ref="G81" si="37">F81-E81</f>
        <v>-407000</v>
      </c>
      <c r="H81" s="38">
        <f t="shared" si="26"/>
        <v>45.518676920399706</v>
      </c>
      <c r="I81" s="38">
        <f t="shared" si="27"/>
        <v>30.623456084120509</v>
      </c>
    </row>
    <row r="82" spans="1:9" ht="25.5">
      <c r="A82" s="19" t="s">
        <v>7</v>
      </c>
      <c r="B82" s="15"/>
      <c r="C82" s="16">
        <v>3051000</v>
      </c>
      <c r="D82" s="16">
        <v>4630553</v>
      </c>
      <c r="E82" s="16">
        <f>2160945</f>
        <v>2160945</v>
      </c>
      <c r="F82" s="16">
        <v>1249498.8500000001</v>
      </c>
      <c r="G82" s="16">
        <f t="shared" si="36"/>
        <v>-911446.14999999991</v>
      </c>
      <c r="H82" s="38">
        <f t="shared" si="26"/>
        <v>57.821871912519761</v>
      </c>
      <c r="I82" s="38">
        <f t="shared" si="27"/>
        <v>26.983793296394619</v>
      </c>
    </row>
    <row r="83" spans="1:9">
      <c r="A83" s="18" t="s">
        <v>8</v>
      </c>
      <c r="B83" s="12" t="s">
        <v>9</v>
      </c>
      <c r="C83" s="13">
        <f>SUM(C84:C84)</f>
        <v>2000000</v>
      </c>
      <c r="D83" s="13">
        <f>SUM(D84:D84)</f>
        <v>9398784</v>
      </c>
      <c r="E83" s="13">
        <f>SUM(E84:E84)</f>
        <v>0</v>
      </c>
      <c r="F83" s="13">
        <f>SUM(F84:F84)</f>
        <v>0</v>
      </c>
      <c r="G83" s="13">
        <f t="shared" si="36"/>
        <v>0</v>
      </c>
      <c r="H83" s="37">
        <v>0</v>
      </c>
      <c r="I83" s="37">
        <f t="shared" si="27"/>
        <v>0</v>
      </c>
    </row>
    <row r="84" spans="1:9" ht="25.5">
      <c r="A84" s="19" t="s">
        <v>7</v>
      </c>
      <c r="B84" s="15"/>
      <c r="C84" s="16">
        <v>2000000</v>
      </c>
      <c r="D84" s="16">
        <v>9398784</v>
      </c>
      <c r="E84" s="16">
        <v>0</v>
      </c>
      <c r="F84" s="16">
        <v>0</v>
      </c>
      <c r="G84" s="16">
        <f t="shared" si="36"/>
        <v>0</v>
      </c>
      <c r="H84" s="38">
        <v>0</v>
      </c>
      <c r="I84" s="38">
        <f t="shared" si="27"/>
        <v>0</v>
      </c>
    </row>
    <row r="85" spans="1:9" s="32" customFormat="1" ht="38.25">
      <c r="A85" s="31" t="s">
        <v>93</v>
      </c>
      <c r="B85" s="25" t="s">
        <v>26</v>
      </c>
      <c r="C85" s="21">
        <f>C86+C89</f>
        <v>18715723</v>
      </c>
      <c r="D85" s="13">
        <f>D86+D89</f>
        <v>24121153</v>
      </c>
      <c r="E85" s="13">
        <f>E86+E89</f>
        <v>11464670</v>
      </c>
      <c r="F85" s="13">
        <f>F86+F89</f>
        <v>10972645.609999999</v>
      </c>
      <c r="G85" s="21">
        <f t="shared" si="36"/>
        <v>-492024.3900000006</v>
      </c>
      <c r="H85" s="37">
        <f t="shared" si="26"/>
        <v>95.708342324724555</v>
      </c>
      <c r="I85" s="37">
        <f t="shared" si="27"/>
        <v>45.489722692775089</v>
      </c>
    </row>
    <row r="86" spans="1:9" ht="27" customHeight="1">
      <c r="A86" s="11" t="s">
        <v>80</v>
      </c>
      <c r="B86" s="12" t="s">
        <v>27</v>
      </c>
      <c r="C86" s="13">
        <f>SUM(C87:C88)</f>
        <v>6665915</v>
      </c>
      <c r="D86" s="13">
        <f t="shared" ref="D86:F86" si="38">SUM(D87:D88)</f>
        <v>6665915</v>
      </c>
      <c r="E86" s="13">
        <f t="shared" si="38"/>
        <v>219200</v>
      </c>
      <c r="F86" s="13">
        <f t="shared" si="38"/>
        <v>34586.36</v>
      </c>
      <c r="G86" s="13">
        <f t="shared" si="36"/>
        <v>-184613.64</v>
      </c>
      <c r="H86" s="37">
        <f t="shared" si="26"/>
        <v>15.77844890510949</v>
      </c>
      <c r="I86" s="37">
        <f t="shared" si="27"/>
        <v>0.51885390077731264</v>
      </c>
    </row>
    <row r="87" spans="1:9">
      <c r="A87" s="14" t="s">
        <v>79</v>
      </c>
      <c r="B87" s="15"/>
      <c r="C87" s="16">
        <v>759400</v>
      </c>
      <c r="D87" s="16">
        <v>759400</v>
      </c>
      <c r="E87" s="16">
        <v>219200</v>
      </c>
      <c r="F87" s="16">
        <v>34586.36</v>
      </c>
      <c r="G87" s="16">
        <f t="shared" si="36"/>
        <v>-184613.64</v>
      </c>
      <c r="H87" s="38">
        <f t="shared" si="26"/>
        <v>15.77844890510949</v>
      </c>
      <c r="I87" s="38">
        <f t="shared" si="27"/>
        <v>4.5544324466684225</v>
      </c>
    </row>
    <row r="88" spans="1:9" ht="25.5">
      <c r="A88" s="14" t="s">
        <v>100</v>
      </c>
      <c r="B88" s="15"/>
      <c r="C88" s="16">
        <v>5906515</v>
      </c>
      <c r="D88" s="16">
        <v>5906515</v>
      </c>
      <c r="E88" s="16">
        <v>0</v>
      </c>
      <c r="F88" s="16">
        <v>0</v>
      </c>
      <c r="G88" s="16">
        <f t="shared" si="36"/>
        <v>0</v>
      </c>
      <c r="H88" s="38">
        <v>0</v>
      </c>
      <c r="I88" s="38">
        <f t="shared" si="27"/>
        <v>0</v>
      </c>
    </row>
    <row r="89" spans="1:9" ht="25.5">
      <c r="A89" s="11" t="s">
        <v>28</v>
      </c>
      <c r="B89" s="12" t="s">
        <v>29</v>
      </c>
      <c r="C89" s="13">
        <f t="shared" ref="C89:E89" si="39">SUM(C90:C96)</f>
        <v>12049808</v>
      </c>
      <c r="D89" s="13">
        <f t="shared" si="39"/>
        <v>17455238</v>
      </c>
      <c r="E89" s="13">
        <f t="shared" si="39"/>
        <v>11245470</v>
      </c>
      <c r="F89" s="13">
        <f>SUM(F90:F96)</f>
        <v>10938059.25</v>
      </c>
      <c r="G89" s="13">
        <f t="shared" si="36"/>
        <v>-307410.75</v>
      </c>
      <c r="H89" s="37">
        <f t="shared" si="26"/>
        <v>97.266359253992945</v>
      </c>
      <c r="I89" s="37">
        <f t="shared" si="27"/>
        <v>62.663478149080518</v>
      </c>
    </row>
    <row r="90" spans="1:9">
      <c r="A90" s="14" t="s">
        <v>79</v>
      </c>
      <c r="B90" s="15"/>
      <c r="C90" s="16">
        <v>151240</v>
      </c>
      <c r="D90" s="16">
        <v>151240</v>
      </c>
      <c r="E90" s="16">
        <v>79468</v>
      </c>
      <c r="F90" s="16">
        <v>50516.87</v>
      </c>
      <c r="G90" s="16">
        <f t="shared" si="36"/>
        <v>-28951.129999999997</v>
      </c>
      <c r="H90" s="38">
        <f t="shared" si="26"/>
        <v>63.568820154024266</v>
      </c>
      <c r="I90" s="38">
        <f t="shared" si="27"/>
        <v>33.401791854006881</v>
      </c>
    </row>
    <row r="91" spans="1:9">
      <c r="A91" s="14" t="s">
        <v>103</v>
      </c>
      <c r="B91" s="15"/>
      <c r="C91" s="16">
        <v>120000</v>
      </c>
      <c r="D91" s="16">
        <v>120000</v>
      </c>
      <c r="E91" s="16">
        <v>22090</v>
      </c>
      <c r="F91" s="16">
        <v>22090</v>
      </c>
      <c r="G91" s="16">
        <f t="shared" si="36"/>
        <v>0</v>
      </c>
      <c r="H91" s="38">
        <f t="shared" si="26"/>
        <v>100</v>
      </c>
      <c r="I91" s="38">
        <f t="shared" si="27"/>
        <v>18.408333333333331</v>
      </c>
    </row>
    <row r="92" spans="1:9" ht="25.5">
      <c r="A92" s="14" t="s">
        <v>95</v>
      </c>
      <c r="B92" s="15"/>
      <c r="C92" s="16">
        <v>9276000</v>
      </c>
      <c r="D92" s="16">
        <v>14419543</v>
      </c>
      <c r="E92" s="16">
        <v>9950609</v>
      </c>
      <c r="F92" s="16">
        <v>9743879.6500000004</v>
      </c>
      <c r="G92" s="16">
        <f t="shared" si="36"/>
        <v>-206729.34999999963</v>
      </c>
      <c r="H92" s="38">
        <f t="shared" si="26"/>
        <v>97.922445249330963</v>
      </c>
      <c r="I92" s="38">
        <f t="shared" si="27"/>
        <v>67.574122494728158</v>
      </c>
    </row>
    <row r="93" spans="1:9">
      <c r="A93" s="20" t="s">
        <v>101</v>
      </c>
      <c r="B93" s="15"/>
      <c r="C93" s="16">
        <v>1150168</v>
      </c>
      <c r="D93" s="16">
        <v>1195792</v>
      </c>
      <c r="E93" s="16">
        <v>572904</v>
      </c>
      <c r="F93" s="16">
        <v>535807.78</v>
      </c>
      <c r="G93" s="16">
        <f t="shared" si="36"/>
        <v>-37096.219999999972</v>
      </c>
      <c r="H93" s="38">
        <f t="shared" si="26"/>
        <v>93.524880259170828</v>
      </c>
      <c r="I93" s="38">
        <f t="shared" si="27"/>
        <v>44.80777426174452</v>
      </c>
    </row>
    <row r="94" spans="1:9">
      <c r="A94" s="14" t="s">
        <v>10</v>
      </c>
      <c r="B94" s="15"/>
      <c r="C94" s="16">
        <v>998800</v>
      </c>
      <c r="D94" s="16">
        <v>1215063</v>
      </c>
      <c r="E94" s="16">
        <v>481834</v>
      </c>
      <c r="F94" s="16">
        <v>481833.15</v>
      </c>
      <c r="G94" s="16">
        <f t="shared" si="36"/>
        <v>-0.84999999997671694</v>
      </c>
      <c r="H94" s="38">
        <f t="shared" si="26"/>
        <v>99.999823590697218</v>
      </c>
      <c r="I94" s="38">
        <f t="shared" si="27"/>
        <v>39.65499319788357</v>
      </c>
    </row>
    <row r="95" spans="1:9" ht="25.5">
      <c r="A95" s="14" t="s">
        <v>100</v>
      </c>
      <c r="B95" s="15"/>
      <c r="C95" s="16">
        <v>66500</v>
      </c>
      <c r="D95" s="16">
        <v>66500</v>
      </c>
      <c r="E95" s="16">
        <f>28050</f>
        <v>28050</v>
      </c>
      <c r="F95" s="16">
        <v>20000</v>
      </c>
      <c r="G95" s="16">
        <f t="shared" si="36"/>
        <v>-8050</v>
      </c>
      <c r="H95" s="38">
        <f t="shared" si="26"/>
        <v>71.301247771836003</v>
      </c>
      <c r="I95" s="38">
        <f t="shared" si="27"/>
        <v>30.075187969924812</v>
      </c>
    </row>
    <row r="96" spans="1:9" ht="25.5">
      <c r="A96" s="14" t="s">
        <v>7</v>
      </c>
      <c r="B96" s="15"/>
      <c r="C96" s="16">
        <v>287100</v>
      </c>
      <c r="D96" s="16">
        <v>287100</v>
      </c>
      <c r="E96" s="16">
        <v>110515</v>
      </c>
      <c r="F96" s="16">
        <v>83931.8</v>
      </c>
      <c r="G96" s="16">
        <f t="shared" si="36"/>
        <v>-26583.199999999997</v>
      </c>
      <c r="H96" s="38">
        <f t="shared" si="26"/>
        <v>75.946070669139942</v>
      </c>
      <c r="I96" s="38">
        <f t="shared" si="27"/>
        <v>29.234343434343437</v>
      </c>
    </row>
    <row r="97" spans="1:9" s="26" customFormat="1" ht="25.5">
      <c r="A97" s="24" t="s">
        <v>70</v>
      </c>
      <c r="B97" s="25" t="s">
        <v>21</v>
      </c>
      <c r="C97" s="21">
        <f>C98+C100+C103+C105</f>
        <v>409250800</v>
      </c>
      <c r="D97" s="13">
        <f>D98+D103+D100+D105</f>
        <v>427108159</v>
      </c>
      <c r="E97" s="13">
        <f>E98+E103+E100+E105</f>
        <v>218870212</v>
      </c>
      <c r="F97" s="13">
        <f>F98+F103+F100+F105</f>
        <v>206144487.61000001</v>
      </c>
      <c r="G97" s="21">
        <f t="shared" si="36"/>
        <v>-12725724.389999986</v>
      </c>
      <c r="H97" s="37">
        <f t="shared" si="26"/>
        <v>94.185721175250663</v>
      </c>
      <c r="I97" s="37">
        <f t="shared" si="27"/>
        <v>48.265172009977924</v>
      </c>
    </row>
    <row r="98" spans="1:9">
      <c r="A98" s="18" t="s">
        <v>22</v>
      </c>
      <c r="B98" s="12" t="s">
        <v>23</v>
      </c>
      <c r="C98" s="13">
        <f>C99</f>
        <v>305475000</v>
      </c>
      <c r="D98" s="13">
        <f t="shared" ref="D98:E98" si="40">D99</f>
        <v>312370702</v>
      </c>
      <c r="E98" s="13">
        <f t="shared" si="40"/>
        <v>164547726</v>
      </c>
      <c r="F98" s="13">
        <f>F99</f>
        <v>154833822.83000001</v>
      </c>
      <c r="G98" s="21">
        <f t="shared" si="36"/>
        <v>-9713903.1699999869</v>
      </c>
      <c r="H98" s="37">
        <f t="shared" si="26"/>
        <v>94.096604428310371</v>
      </c>
      <c r="I98" s="37">
        <f t="shared" si="27"/>
        <v>49.567331967644016</v>
      </c>
    </row>
    <row r="99" spans="1:9" s="26" customFormat="1">
      <c r="A99" s="27" t="s">
        <v>79</v>
      </c>
      <c r="B99" s="28"/>
      <c r="C99" s="22">
        <v>305475000</v>
      </c>
      <c r="D99" s="16">
        <v>312370702</v>
      </c>
      <c r="E99" s="16">
        <f>37186892+106136738+1655420+227676+19341000</f>
        <v>164547726</v>
      </c>
      <c r="F99" s="16">
        <v>154833822.83000001</v>
      </c>
      <c r="G99" s="22">
        <f t="shared" si="36"/>
        <v>-9713903.1699999869</v>
      </c>
      <c r="H99" s="38">
        <f t="shared" si="26"/>
        <v>94.096604428310371</v>
      </c>
      <c r="I99" s="38">
        <f t="shared" si="27"/>
        <v>49.567331967644016</v>
      </c>
    </row>
    <row r="100" spans="1:9" s="17" customFormat="1">
      <c r="A100" s="18" t="s">
        <v>81</v>
      </c>
      <c r="B100" s="12"/>
      <c r="C100" s="13">
        <f>SUM(C101:C102)</f>
        <v>57254500</v>
      </c>
      <c r="D100" s="13">
        <f>SUM(D101:D102)</f>
        <v>60948053</v>
      </c>
      <c r="E100" s="13">
        <f>SUM(E101:E102)</f>
        <v>33638961</v>
      </c>
      <c r="F100" s="13">
        <f>SUM(F101:F102)</f>
        <v>32746095.009999998</v>
      </c>
      <c r="G100" s="21">
        <f t="shared" si="36"/>
        <v>-892865.99000000209</v>
      </c>
      <c r="H100" s="37">
        <f t="shared" si="26"/>
        <v>97.345738502446608</v>
      </c>
      <c r="I100" s="37">
        <f t="shared" si="27"/>
        <v>53.727877098879596</v>
      </c>
    </row>
    <row r="101" spans="1:9" s="26" customFormat="1">
      <c r="A101" s="27" t="s">
        <v>79</v>
      </c>
      <c r="B101" s="29"/>
      <c r="C101" s="22">
        <v>46568700</v>
      </c>
      <c r="D101" s="16">
        <v>51678697</v>
      </c>
      <c r="E101" s="16">
        <f>393000+521400+2253117+2947600+5911323+20000+12323165</f>
        <v>24369605</v>
      </c>
      <c r="F101" s="16">
        <v>23476743.719999999</v>
      </c>
      <c r="G101" s="22">
        <f t="shared" si="36"/>
        <v>-892861.28000000119</v>
      </c>
      <c r="H101" s="38">
        <f t="shared" si="26"/>
        <v>96.336168436049746</v>
      </c>
      <c r="I101" s="38">
        <f t="shared" si="27"/>
        <v>45.428281057473249</v>
      </c>
    </row>
    <row r="102" spans="1:9" ht="18" customHeight="1">
      <c r="A102" s="19" t="s">
        <v>82</v>
      </c>
      <c r="B102" s="15"/>
      <c r="C102" s="16">
        <v>10685800</v>
      </c>
      <c r="D102" s="16">
        <v>9269356</v>
      </c>
      <c r="E102" s="16">
        <f>6128722+2620634+520000</f>
        <v>9269356</v>
      </c>
      <c r="F102" s="16">
        <v>9269351.2899999991</v>
      </c>
      <c r="G102" s="22">
        <f t="shared" si="36"/>
        <v>-4.7100000008940697</v>
      </c>
      <c r="H102" s="38">
        <f t="shared" si="26"/>
        <v>99.999949187408475</v>
      </c>
      <c r="I102" s="38">
        <f t="shared" si="27"/>
        <v>99.999949187408475</v>
      </c>
    </row>
    <row r="103" spans="1:9" s="17" customFormat="1">
      <c r="A103" s="18" t="s">
        <v>24</v>
      </c>
      <c r="B103" s="12" t="s">
        <v>25</v>
      </c>
      <c r="C103" s="13">
        <f t="shared" ref="C103:E103" si="41">C104</f>
        <v>2330300</v>
      </c>
      <c r="D103" s="13">
        <f t="shared" si="41"/>
        <v>9232855</v>
      </c>
      <c r="E103" s="13">
        <f t="shared" si="41"/>
        <v>167555</v>
      </c>
      <c r="F103" s="13">
        <f>F104</f>
        <v>150600</v>
      </c>
      <c r="G103" s="21">
        <f t="shared" si="36"/>
        <v>-16955</v>
      </c>
      <c r="H103" s="37">
        <f t="shared" si="26"/>
        <v>89.880934618483494</v>
      </c>
      <c r="I103" s="37">
        <f t="shared" si="27"/>
        <v>1.6311314322601189</v>
      </c>
    </row>
    <row r="104" spans="1:9">
      <c r="A104" s="19" t="s">
        <v>79</v>
      </c>
      <c r="B104" s="15"/>
      <c r="C104" s="16">
        <v>2330300</v>
      </c>
      <c r="D104" s="16">
        <v>9232855</v>
      </c>
      <c r="E104" s="16">
        <v>167555</v>
      </c>
      <c r="F104" s="16">
        <v>150600</v>
      </c>
      <c r="G104" s="22">
        <f t="shared" si="36"/>
        <v>-16955</v>
      </c>
      <c r="H104" s="38">
        <f t="shared" si="26"/>
        <v>89.880934618483494</v>
      </c>
      <c r="I104" s="38">
        <f t="shared" si="27"/>
        <v>1.6311314322601189</v>
      </c>
    </row>
    <row r="105" spans="1:9" s="17" customFormat="1" ht="38.25">
      <c r="A105" s="18" t="s">
        <v>83</v>
      </c>
      <c r="B105" s="12"/>
      <c r="C105" s="13">
        <f>C106+C107</f>
        <v>44191000</v>
      </c>
      <c r="D105" s="13">
        <f t="shared" ref="D105:F105" si="42">D106+D107</f>
        <v>44556549</v>
      </c>
      <c r="E105" s="13">
        <f t="shared" si="42"/>
        <v>20515970</v>
      </c>
      <c r="F105" s="13">
        <f t="shared" si="42"/>
        <v>18413969.77</v>
      </c>
      <c r="G105" s="21">
        <f t="shared" si="36"/>
        <v>-2102000.2300000004</v>
      </c>
      <c r="H105" s="37">
        <f t="shared" si="26"/>
        <v>89.754321974539835</v>
      </c>
      <c r="I105" s="37">
        <f t="shared" si="27"/>
        <v>41.32719024087794</v>
      </c>
    </row>
    <row r="106" spans="1:9" s="26" customFormat="1">
      <c r="A106" s="27" t="s">
        <v>79</v>
      </c>
      <c r="B106" s="29"/>
      <c r="C106" s="22">
        <v>22788400</v>
      </c>
      <c r="D106" s="16">
        <v>22840304</v>
      </c>
      <c r="E106" s="16">
        <f>7338700+6490+2900000</f>
        <v>10245190</v>
      </c>
      <c r="F106" s="16">
        <v>9961834.1500000004</v>
      </c>
      <c r="G106" s="22">
        <f t="shared" si="36"/>
        <v>-283355.84999999963</v>
      </c>
      <c r="H106" s="38">
        <f t="shared" si="26"/>
        <v>97.234254806401836</v>
      </c>
      <c r="I106" s="38">
        <f t="shared" si="27"/>
        <v>43.615155691447896</v>
      </c>
    </row>
    <row r="107" spans="1:9" s="26" customFormat="1">
      <c r="A107" s="30" t="s">
        <v>103</v>
      </c>
      <c r="B107" s="29"/>
      <c r="C107" s="22">
        <v>21402600</v>
      </c>
      <c r="D107" s="16">
        <v>21716245</v>
      </c>
      <c r="E107" s="16">
        <v>10270780</v>
      </c>
      <c r="F107" s="16">
        <v>8452135.6199999992</v>
      </c>
      <c r="G107" s="22">
        <f t="shared" si="36"/>
        <v>-1818644.3800000008</v>
      </c>
      <c r="H107" s="38">
        <f t="shared" si="26"/>
        <v>82.293025651411085</v>
      </c>
      <c r="I107" s="38">
        <f t="shared" si="27"/>
        <v>38.920796942565346</v>
      </c>
    </row>
    <row r="108" spans="1:9" s="26" customFormat="1" ht="25.5">
      <c r="A108" s="31" t="s">
        <v>87</v>
      </c>
      <c r="B108" s="25" t="s">
        <v>50</v>
      </c>
      <c r="C108" s="21">
        <f t="shared" ref="C108:E108" si="43">C109+C111</f>
        <v>529295532</v>
      </c>
      <c r="D108" s="13">
        <f t="shared" si="43"/>
        <v>540745759</v>
      </c>
      <c r="E108" s="13">
        <f t="shared" si="43"/>
        <v>204997492</v>
      </c>
      <c r="F108" s="13">
        <f>F109+F111</f>
        <v>175898045.07999998</v>
      </c>
      <c r="G108" s="21">
        <f t="shared" si="36"/>
        <v>-29099446.920000017</v>
      </c>
      <c r="H108" s="37">
        <f t="shared" si="26"/>
        <v>85.804974179879224</v>
      </c>
      <c r="I108" s="37">
        <f t="shared" si="27"/>
        <v>32.528788650194478</v>
      </c>
    </row>
    <row r="109" spans="1:9">
      <c r="A109" s="11" t="s">
        <v>51</v>
      </c>
      <c r="B109" s="12" t="s">
        <v>52</v>
      </c>
      <c r="C109" s="13">
        <f t="shared" ref="C109:E109" si="44">C110</f>
        <v>189764420</v>
      </c>
      <c r="D109" s="13">
        <f t="shared" si="44"/>
        <v>189925524</v>
      </c>
      <c r="E109" s="13">
        <f t="shared" si="44"/>
        <v>90405700</v>
      </c>
      <c r="F109" s="13">
        <f>F110</f>
        <v>88748971.5</v>
      </c>
      <c r="G109" s="21">
        <f t="shared" si="36"/>
        <v>-1656728.5</v>
      </c>
      <c r="H109" s="37">
        <f t="shared" si="26"/>
        <v>98.167451277961462</v>
      </c>
      <c r="I109" s="37">
        <f t="shared" si="27"/>
        <v>46.728301510438378</v>
      </c>
    </row>
    <row r="110" spans="1:9" s="26" customFormat="1" ht="25.5">
      <c r="A110" s="30" t="s">
        <v>7</v>
      </c>
      <c r="B110" s="29"/>
      <c r="C110" s="22">
        <v>189764420</v>
      </c>
      <c r="D110" s="16">
        <v>189925524</v>
      </c>
      <c r="E110" s="16">
        <v>90405700</v>
      </c>
      <c r="F110" s="16">
        <v>88748971.5</v>
      </c>
      <c r="G110" s="22">
        <f t="shared" si="36"/>
        <v>-1656728.5</v>
      </c>
      <c r="H110" s="38">
        <f t="shared" si="26"/>
        <v>98.167451277961462</v>
      </c>
      <c r="I110" s="38">
        <f t="shared" si="27"/>
        <v>46.728301510438378</v>
      </c>
    </row>
    <row r="111" spans="1:9">
      <c r="A111" s="11" t="s">
        <v>53</v>
      </c>
      <c r="B111" s="12" t="s">
        <v>54</v>
      </c>
      <c r="C111" s="13">
        <f t="shared" ref="C111:E111" si="45">SUM(C112:C113)</f>
        <v>339531112</v>
      </c>
      <c r="D111" s="13">
        <f t="shared" si="45"/>
        <v>350820235</v>
      </c>
      <c r="E111" s="13">
        <f t="shared" si="45"/>
        <v>114591792</v>
      </c>
      <c r="F111" s="13">
        <f>SUM(F112:F113)</f>
        <v>87149073.579999998</v>
      </c>
      <c r="G111" s="21">
        <f t="shared" si="36"/>
        <v>-27442718.420000002</v>
      </c>
      <c r="H111" s="37">
        <f t="shared" si="26"/>
        <v>76.051759082360803</v>
      </c>
      <c r="I111" s="37">
        <f t="shared" si="27"/>
        <v>24.841518500208519</v>
      </c>
    </row>
    <row r="112" spans="1:9" ht="25.5">
      <c r="A112" s="14" t="s">
        <v>100</v>
      </c>
      <c r="B112" s="15"/>
      <c r="C112" s="16">
        <v>110392212</v>
      </c>
      <c r="D112" s="16">
        <v>45305600</v>
      </c>
      <c r="E112" s="16">
        <v>0</v>
      </c>
      <c r="F112" s="16">
        <v>0</v>
      </c>
      <c r="G112" s="22">
        <f t="shared" si="36"/>
        <v>0</v>
      </c>
      <c r="H112" s="38">
        <v>0</v>
      </c>
      <c r="I112" s="38">
        <f t="shared" si="27"/>
        <v>0</v>
      </c>
    </row>
    <row r="113" spans="1:9" s="26" customFormat="1" ht="25.5">
      <c r="A113" s="30" t="s">
        <v>7</v>
      </c>
      <c r="B113" s="29"/>
      <c r="C113" s="22">
        <v>229138900</v>
      </c>
      <c r="D113" s="16">
        <v>305514635</v>
      </c>
      <c r="E113" s="16">
        <v>114591792</v>
      </c>
      <c r="F113" s="16">
        <v>87149073.579999998</v>
      </c>
      <c r="G113" s="22">
        <f t="shared" si="36"/>
        <v>-27442718.420000002</v>
      </c>
      <c r="H113" s="38">
        <f t="shared" si="26"/>
        <v>76.051759082360803</v>
      </c>
      <c r="I113" s="38">
        <f t="shared" si="27"/>
        <v>28.525335154566328</v>
      </c>
    </row>
    <row r="114" spans="1:9" s="26" customFormat="1" ht="25.5">
      <c r="A114" s="24" t="s">
        <v>71</v>
      </c>
      <c r="B114" s="25" t="s">
        <v>12</v>
      </c>
      <c r="C114" s="21">
        <f t="shared" ref="C114:E114" si="46">C115+C117+C119</f>
        <v>60858800</v>
      </c>
      <c r="D114" s="13">
        <f t="shared" si="46"/>
        <v>60892485</v>
      </c>
      <c r="E114" s="13">
        <f t="shared" si="46"/>
        <v>34414150</v>
      </c>
      <c r="F114" s="13">
        <f>F115+F117+F119</f>
        <v>31788614.539999999</v>
      </c>
      <c r="G114" s="21">
        <f t="shared" si="36"/>
        <v>-2625535.4600000009</v>
      </c>
      <c r="H114" s="37">
        <f t="shared" si="26"/>
        <v>92.370767663882432</v>
      </c>
      <c r="I114" s="37">
        <f t="shared" si="27"/>
        <v>52.204495415156728</v>
      </c>
    </row>
    <row r="115" spans="1:9">
      <c r="A115" s="18" t="s">
        <v>13</v>
      </c>
      <c r="B115" s="12" t="s">
        <v>14</v>
      </c>
      <c r="C115" s="13">
        <f t="shared" ref="C115:E115" si="47">C116</f>
        <v>57495800</v>
      </c>
      <c r="D115" s="13">
        <f t="shared" si="47"/>
        <v>58392485</v>
      </c>
      <c r="E115" s="13">
        <f t="shared" si="47"/>
        <v>34414150</v>
      </c>
      <c r="F115" s="13">
        <f>F116</f>
        <v>31788614.539999999</v>
      </c>
      <c r="G115" s="21">
        <f t="shared" si="36"/>
        <v>-2625535.4600000009</v>
      </c>
      <c r="H115" s="37">
        <f t="shared" si="26"/>
        <v>92.370767663882432</v>
      </c>
      <c r="I115" s="37">
        <f t="shared" si="27"/>
        <v>54.439564509028862</v>
      </c>
    </row>
    <row r="116" spans="1:9" s="26" customFormat="1">
      <c r="A116" s="27" t="s">
        <v>15</v>
      </c>
      <c r="B116" s="29"/>
      <c r="C116" s="22">
        <v>57495800</v>
      </c>
      <c r="D116" s="16">
        <v>58392485</v>
      </c>
      <c r="E116" s="16">
        <f>32412250+2001900</f>
        <v>34414150</v>
      </c>
      <c r="F116" s="16">
        <v>31788614.539999999</v>
      </c>
      <c r="G116" s="22">
        <f t="shared" si="36"/>
        <v>-2625535.4600000009</v>
      </c>
      <c r="H116" s="38">
        <f t="shared" si="26"/>
        <v>92.370767663882432</v>
      </c>
      <c r="I116" s="38">
        <f t="shared" si="27"/>
        <v>54.439564509028862</v>
      </c>
    </row>
    <row r="117" spans="1:9">
      <c r="A117" s="18" t="s">
        <v>16</v>
      </c>
      <c r="B117" s="12" t="s">
        <v>17</v>
      </c>
      <c r="C117" s="13">
        <f t="shared" ref="C117:E117" si="48">C118</f>
        <v>863000</v>
      </c>
      <c r="D117" s="13">
        <f t="shared" si="48"/>
        <v>0</v>
      </c>
      <c r="E117" s="13">
        <f t="shared" si="48"/>
        <v>0</v>
      </c>
      <c r="F117" s="13">
        <f>F118</f>
        <v>0</v>
      </c>
      <c r="G117" s="21">
        <f t="shared" si="36"/>
        <v>0</v>
      </c>
      <c r="H117" s="37">
        <v>0</v>
      </c>
      <c r="I117" s="37">
        <v>0</v>
      </c>
    </row>
    <row r="118" spans="1:9">
      <c r="A118" s="19" t="s">
        <v>15</v>
      </c>
      <c r="B118" s="15"/>
      <c r="C118" s="16">
        <v>863000</v>
      </c>
      <c r="D118" s="16">
        <v>0</v>
      </c>
      <c r="E118" s="16">
        <v>0</v>
      </c>
      <c r="F118" s="16">
        <v>0</v>
      </c>
      <c r="G118" s="22">
        <f t="shared" si="36"/>
        <v>0</v>
      </c>
      <c r="H118" s="38">
        <v>0</v>
      </c>
      <c r="I118" s="38">
        <v>0</v>
      </c>
    </row>
    <row r="119" spans="1:9" s="17" customFormat="1" ht="25.5">
      <c r="A119" s="18" t="s">
        <v>18</v>
      </c>
      <c r="B119" s="12" t="s">
        <v>19</v>
      </c>
      <c r="C119" s="13">
        <f t="shared" ref="C119:E119" si="49">C120</f>
        <v>2500000</v>
      </c>
      <c r="D119" s="13">
        <f t="shared" si="49"/>
        <v>2500000</v>
      </c>
      <c r="E119" s="13">
        <f t="shared" si="49"/>
        <v>0</v>
      </c>
      <c r="F119" s="13">
        <f>F120</f>
        <v>0</v>
      </c>
      <c r="G119" s="21">
        <f t="shared" si="36"/>
        <v>0</v>
      </c>
      <c r="H119" s="37">
        <v>0</v>
      </c>
      <c r="I119" s="37">
        <f t="shared" si="27"/>
        <v>0</v>
      </c>
    </row>
    <row r="120" spans="1:9">
      <c r="A120" s="19" t="s">
        <v>15</v>
      </c>
      <c r="B120" s="15"/>
      <c r="C120" s="16">
        <v>2500000</v>
      </c>
      <c r="D120" s="16">
        <v>2500000</v>
      </c>
      <c r="E120" s="16">
        <v>0</v>
      </c>
      <c r="F120" s="16">
        <v>0</v>
      </c>
      <c r="G120" s="22">
        <f t="shared" si="36"/>
        <v>0</v>
      </c>
      <c r="H120" s="38">
        <v>0</v>
      </c>
      <c r="I120" s="38">
        <f t="shared" si="27"/>
        <v>0</v>
      </c>
    </row>
    <row r="121" spans="1:9" s="26" customFormat="1" ht="25.5">
      <c r="A121" s="24" t="s">
        <v>88</v>
      </c>
      <c r="B121" s="25" t="s">
        <v>3</v>
      </c>
      <c r="C121" s="21">
        <f>SUM(C122:C123)</f>
        <v>50353200</v>
      </c>
      <c r="D121" s="13">
        <f t="shared" ref="D121:F121" si="50">SUM(D122:D123)</f>
        <v>53853684</v>
      </c>
      <c r="E121" s="13">
        <f t="shared" si="50"/>
        <v>29528714</v>
      </c>
      <c r="F121" s="13">
        <f t="shared" si="50"/>
        <v>27631634.390000001</v>
      </c>
      <c r="G121" s="21">
        <f t="shared" si="36"/>
        <v>-1897079.6099999994</v>
      </c>
      <c r="H121" s="37">
        <f t="shared" si="26"/>
        <v>93.575475010527043</v>
      </c>
      <c r="I121" s="37">
        <f t="shared" si="27"/>
        <v>51.308717134374696</v>
      </c>
    </row>
    <row r="122" spans="1:9" s="26" customFormat="1">
      <c r="A122" s="30" t="s">
        <v>103</v>
      </c>
      <c r="B122" s="29"/>
      <c r="C122" s="22">
        <v>48322600</v>
      </c>
      <c r="D122" s="16">
        <v>51316412</v>
      </c>
      <c r="E122" s="16">
        <f>1978137+25678879+756026</f>
        <v>28413042</v>
      </c>
      <c r="F122" s="16">
        <v>27048631.23</v>
      </c>
      <c r="G122" s="22">
        <f t="shared" si="36"/>
        <v>-1364410.7699999996</v>
      </c>
      <c r="H122" s="38">
        <f t="shared" si="26"/>
        <v>95.197941952150003</v>
      </c>
      <c r="I122" s="38">
        <f t="shared" si="27"/>
        <v>52.709513732175971</v>
      </c>
    </row>
    <row r="123" spans="1:9" s="26" customFormat="1" ht="25.5">
      <c r="A123" s="30" t="s">
        <v>100</v>
      </c>
      <c r="B123" s="29"/>
      <c r="C123" s="22">
        <v>2030600</v>
      </c>
      <c r="D123" s="16">
        <v>2537272</v>
      </c>
      <c r="E123" s="16">
        <f>1036884+78788</f>
        <v>1115672</v>
      </c>
      <c r="F123" s="16">
        <v>583003.16</v>
      </c>
      <c r="G123" s="22">
        <f t="shared" si="36"/>
        <v>-532668.84</v>
      </c>
      <c r="H123" s="38">
        <f t="shared" si="26"/>
        <v>52.255784854329946</v>
      </c>
      <c r="I123" s="38">
        <f t="shared" si="27"/>
        <v>22.977558574721201</v>
      </c>
    </row>
    <row r="124" spans="1:9" s="26" customFormat="1" ht="38.25">
      <c r="A124" s="24" t="s">
        <v>90</v>
      </c>
      <c r="B124" s="25" t="s">
        <v>11</v>
      </c>
      <c r="C124" s="21">
        <f>SUM(C125:C128)</f>
        <v>705400</v>
      </c>
      <c r="D124" s="13">
        <f t="shared" ref="D124:F124" si="51">SUM(D125:D128)</f>
        <v>705400</v>
      </c>
      <c r="E124" s="13">
        <f t="shared" si="51"/>
        <v>405150</v>
      </c>
      <c r="F124" s="13">
        <f t="shared" si="51"/>
        <v>374900</v>
      </c>
      <c r="G124" s="21">
        <f t="shared" si="36"/>
        <v>-30250</v>
      </c>
      <c r="H124" s="37">
        <f t="shared" si="26"/>
        <v>92.533629519930898</v>
      </c>
      <c r="I124" s="37">
        <f t="shared" si="27"/>
        <v>53.147150552877797</v>
      </c>
    </row>
    <row r="125" spans="1:9" s="26" customFormat="1">
      <c r="A125" s="27" t="s">
        <v>79</v>
      </c>
      <c r="B125" s="29"/>
      <c r="C125" s="22">
        <v>104500</v>
      </c>
      <c r="D125" s="16">
        <v>104500</v>
      </c>
      <c r="E125" s="16">
        <v>52250</v>
      </c>
      <c r="F125" s="16">
        <v>22000</v>
      </c>
      <c r="G125" s="22">
        <f t="shared" si="36"/>
        <v>-30250</v>
      </c>
      <c r="H125" s="38">
        <f t="shared" si="26"/>
        <v>42.105263157894733</v>
      </c>
      <c r="I125" s="38">
        <f t="shared" si="27"/>
        <v>21.052631578947366</v>
      </c>
    </row>
    <row r="126" spans="1:9" s="26" customFormat="1" ht="25.5">
      <c r="A126" s="27" t="s">
        <v>95</v>
      </c>
      <c r="B126" s="29"/>
      <c r="C126" s="22">
        <v>360000</v>
      </c>
      <c r="D126" s="16">
        <v>360000</v>
      </c>
      <c r="E126" s="16">
        <v>170000</v>
      </c>
      <c r="F126" s="16">
        <v>170000</v>
      </c>
      <c r="G126" s="22">
        <f t="shared" si="36"/>
        <v>0</v>
      </c>
      <c r="H126" s="38">
        <f t="shared" si="26"/>
        <v>100</v>
      </c>
      <c r="I126" s="38">
        <f t="shared" si="27"/>
        <v>47.222222222222221</v>
      </c>
    </row>
    <row r="127" spans="1:9">
      <c r="A127" s="20" t="s">
        <v>101</v>
      </c>
      <c r="B127" s="15"/>
      <c r="C127" s="16">
        <v>183900</v>
      </c>
      <c r="D127" s="16">
        <v>183900</v>
      </c>
      <c r="E127" s="16">
        <v>182900</v>
      </c>
      <c r="F127" s="16">
        <v>182900</v>
      </c>
      <c r="G127" s="22">
        <f t="shared" si="36"/>
        <v>0</v>
      </c>
      <c r="H127" s="38">
        <f t="shared" si="26"/>
        <v>100</v>
      </c>
      <c r="I127" s="38">
        <f t="shared" si="27"/>
        <v>99.456226209896684</v>
      </c>
    </row>
    <row r="128" spans="1:9">
      <c r="A128" s="19" t="s">
        <v>10</v>
      </c>
      <c r="B128" s="15"/>
      <c r="C128" s="16">
        <v>57000</v>
      </c>
      <c r="D128" s="16">
        <v>57000</v>
      </c>
      <c r="E128" s="16">
        <v>0</v>
      </c>
      <c r="F128" s="16">
        <v>0</v>
      </c>
      <c r="G128" s="22">
        <f t="shared" si="36"/>
        <v>0</v>
      </c>
      <c r="H128" s="38">
        <v>0</v>
      </c>
      <c r="I128" s="38">
        <f t="shared" si="27"/>
        <v>0</v>
      </c>
    </row>
    <row r="129" spans="1:9" s="26" customFormat="1" ht="38.25">
      <c r="A129" s="31" t="s">
        <v>91</v>
      </c>
      <c r="B129" s="25" t="s">
        <v>41</v>
      </c>
      <c r="C129" s="21">
        <f t="shared" ref="C129:E129" si="52">SUM(C130:C131)</f>
        <v>2465200</v>
      </c>
      <c r="D129" s="13">
        <f t="shared" si="52"/>
        <v>2465200</v>
      </c>
      <c r="E129" s="13">
        <f t="shared" si="52"/>
        <v>718750</v>
      </c>
      <c r="F129" s="13">
        <f>SUM(F130:F131)</f>
        <v>718750</v>
      </c>
      <c r="G129" s="21">
        <f t="shared" si="36"/>
        <v>0</v>
      </c>
      <c r="H129" s="37">
        <f t="shared" si="26"/>
        <v>100</v>
      </c>
      <c r="I129" s="37">
        <f t="shared" si="27"/>
        <v>29.155849423981827</v>
      </c>
    </row>
    <row r="130" spans="1:9">
      <c r="A130" s="14" t="s">
        <v>79</v>
      </c>
      <c r="B130" s="15"/>
      <c r="C130" s="16">
        <v>950000</v>
      </c>
      <c r="D130" s="16">
        <v>950000</v>
      </c>
      <c r="E130" s="16">
        <v>0</v>
      </c>
      <c r="F130" s="16">
        <v>0</v>
      </c>
      <c r="G130" s="22">
        <f t="shared" si="36"/>
        <v>0</v>
      </c>
      <c r="H130" s="38">
        <v>0</v>
      </c>
      <c r="I130" s="38">
        <f t="shared" si="27"/>
        <v>0</v>
      </c>
    </row>
    <row r="131" spans="1:9" ht="25.5">
      <c r="A131" s="14" t="s">
        <v>95</v>
      </c>
      <c r="B131" s="15"/>
      <c r="C131" s="16">
        <v>1515200</v>
      </c>
      <c r="D131" s="16">
        <v>1515200</v>
      </c>
      <c r="E131" s="16">
        <v>718750</v>
      </c>
      <c r="F131" s="16">
        <v>718750</v>
      </c>
      <c r="G131" s="22">
        <f t="shared" si="36"/>
        <v>0</v>
      </c>
      <c r="H131" s="38">
        <f t="shared" si="26"/>
        <v>100</v>
      </c>
      <c r="I131" s="38">
        <f t="shared" si="27"/>
        <v>47.435982048574445</v>
      </c>
    </row>
    <row r="132" spans="1:9" s="26" customFormat="1">
      <c r="A132" s="33" t="s">
        <v>72</v>
      </c>
      <c r="B132" s="34"/>
      <c r="C132" s="35">
        <f>C5+C25+C29+C35+C42+C53+C78+C85+C97+C108+C114+C121+C124+C129+C18</f>
        <v>6614257412</v>
      </c>
      <c r="D132" s="41">
        <f>D5+D25+D29+D35+D42+D53+D78+D85+D97+D108+D114+D121+D124+D129+D18</f>
        <v>7411368239.25</v>
      </c>
      <c r="E132" s="13">
        <f>E5+E25+E29+E35+E42+E53+E78+E85+E97+E108+E114+E121+E124+E129+E18</f>
        <v>3602378126.54</v>
      </c>
      <c r="F132" s="41">
        <f>F5+F25+F29+F35+F42+F53+F78+F85+F97+F108+F114+F121+F124+F129+F18</f>
        <v>3105675981.8799996</v>
      </c>
      <c r="G132" s="35">
        <f>G5+G25+G29+G35+G42+G53+G78+G85+G97+G108+G114+G121+G124+G129+G18</f>
        <v>-496702144.65999979</v>
      </c>
      <c r="H132" s="37">
        <f t="shared" si="26"/>
        <v>86.211826543121077</v>
      </c>
      <c r="I132" s="37">
        <f t="shared" si="27"/>
        <v>41.904219054082262</v>
      </c>
    </row>
    <row r="133" spans="1:9">
      <c r="C133" s="23"/>
      <c r="D133" s="23"/>
      <c r="E133" s="46"/>
      <c r="F133" s="23"/>
      <c r="G133" s="23"/>
    </row>
    <row r="134" spans="1:9">
      <c r="D134" s="43"/>
    </row>
    <row r="135" spans="1:9">
      <c r="D135" s="44"/>
      <c r="E135" s="44"/>
      <c r="F135" s="44"/>
      <c r="H135" s="23"/>
    </row>
  </sheetData>
  <autoFilter ref="A4:I132"/>
  <mergeCells count="1">
    <mergeCell ref="A1:H1"/>
  </mergeCells>
  <pageMargins left="0.51181102362204722" right="0.51181102362204722" top="0.74803149606299213" bottom="0.39370078740157483" header="0.31496062992125984" footer="0.31496062992125984"/>
  <pageSetup paperSize="9" scale="75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программы</vt:lpstr>
      <vt:lpstr>Лист2</vt:lpstr>
      <vt:lpstr>Лист3</vt:lpstr>
      <vt:lpstr>программы!Заголовки_для_печати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2018-08-09T05:36:18Z</cp:lastPrinted>
  <dcterms:created xsi:type="dcterms:W3CDTF">2014-05-23T06:49:41Z</dcterms:created>
  <dcterms:modified xsi:type="dcterms:W3CDTF">2018-08-09T05:37:01Z</dcterms:modified>
</cp:coreProperties>
</file>