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465" windowWidth="9720" windowHeight="11940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Print_Titles" localSheetId="0">доходы!$6:$8</definedName>
    <definedName name="_xlnm.Print_Area" localSheetId="0">доходы!$A$1:$Q$71</definedName>
  </definedNames>
  <calcPr calcId="145621"/>
</workbook>
</file>

<file path=xl/calcChain.xml><?xml version="1.0" encoding="utf-8"?>
<calcChain xmlns="http://schemas.openxmlformats.org/spreadsheetml/2006/main">
  <c r="M25" i="5"/>
  <c r="R11"/>
  <c r="O9"/>
  <c r="L71" l="1"/>
  <c r="P61" l="1"/>
  <c r="M56"/>
  <c r="M55"/>
  <c r="Q45"/>
  <c r="P45"/>
  <c r="Q46"/>
  <c r="P46"/>
  <c r="F23" l="1"/>
  <c r="F13"/>
  <c r="J62"/>
  <c r="F62"/>
  <c r="C62"/>
  <c r="C23"/>
  <c r="C13"/>
  <c r="H52"/>
  <c r="H45"/>
  <c r="E45"/>
  <c r="B39"/>
  <c r="F38"/>
  <c r="F35" s="1"/>
  <c r="C38"/>
  <c r="C35" s="1"/>
  <c r="B35"/>
  <c r="F25"/>
  <c r="F27"/>
  <c r="C27"/>
  <c r="C25" s="1"/>
  <c r="B27"/>
  <c r="B25" s="1"/>
  <c r="M27"/>
  <c r="O55"/>
  <c r="O56"/>
  <c r="M54"/>
  <c r="O54" s="1"/>
  <c r="M48"/>
  <c r="M34"/>
  <c r="O34" s="1"/>
  <c r="M33"/>
  <c r="O33" s="1"/>
  <c r="M23"/>
  <c r="O23" s="1"/>
  <c r="M38"/>
  <c r="O27"/>
  <c r="M68"/>
  <c r="O68" s="1"/>
  <c r="M58"/>
  <c r="M51"/>
  <c r="M50"/>
  <c r="O50" s="1"/>
  <c r="M43"/>
  <c r="O43" s="1"/>
  <c r="M20"/>
  <c r="M19"/>
  <c r="O19" s="1"/>
  <c r="M15"/>
  <c r="M14"/>
  <c r="M13" s="1"/>
  <c r="J13"/>
  <c r="I13"/>
  <c r="B13"/>
  <c r="F15"/>
  <c r="M10"/>
  <c r="O48"/>
  <c r="M12"/>
  <c r="O12" s="1"/>
  <c r="M66"/>
  <c r="O66" s="1"/>
  <c r="M65"/>
  <c r="M64"/>
  <c r="O64" s="1"/>
  <c r="M63"/>
  <c r="O63" s="1"/>
  <c r="O10"/>
  <c r="O15"/>
  <c r="O16"/>
  <c r="O17"/>
  <c r="O20"/>
  <c r="O22"/>
  <c r="O26"/>
  <c r="O28"/>
  <c r="O29"/>
  <c r="O31"/>
  <c r="O36"/>
  <c r="O37"/>
  <c r="O38"/>
  <c r="O40"/>
  <c r="O41"/>
  <c r="O42"/>
  <c r="O44"/>
  <c r="O46"/>
  <c r="O47"/>
  <c r="O49"/>
  <c r="O51"/>
  <c r="O52"/>
  <c r="O58"/>
  <c r="O61"/>
  <c r="O65"/>
  <c r="O67"/>
  <c r="O70"/>
  <c r="J39"/>
  <c r="M18" l="1"/>
  <c r="M62"/>
  <c r="O14"/>
  <c r="M32"/>
  <c r="L44"/>
  <c r="L46"/>
  <c r="J25"/>
  <c r="O25" s="1"/>
  <c r="I62"/>
  <c r="C59"/>
  <c r="M35"/>
  <c r="J35"/>
  <c r="I25"/>
  <c r="M21"/>
  <c r="J21"/>
  <c r="I21"/>
  <c r="F21"/>
  <c r="C21"/>
  <c r="B21"/>
  <c r="J18"/>
  <c r="I18"/>
  <c r="F18"/>
  <c r="C18"/>
  <c r="B18"/>
  <c r="C9" l="1"/>
  <c r="O18"/>
  <c r="O35"/>
  <c r="O13"/>
  <c r="O21"/>
  <c r="B11"/>
  <c r="B9" s="1"/>
  <c r="C11"/>
  <c r="I11"/>
  <c r="I9" s="1"/>
  <c r="J11"/>
  <c r="J9" s="1"/>
  <c r="F59"/>
  <c r="F55"/>
  <c r="F54"/>
  <c r="F50"/>
  <c r="F43"/>
  <c r="F32"/>
  <c r="F30"/>
  <c r="F11"/>
  <c r="F9" s="1"/>
  <c r="B62"/>
  <c r="C39"/>
  <c r="C32"/>
  <c r="B32"/>
  <c r="C30"/>
  <c r="B30"/>
  <c r="B24" s="1"/>
  <c r="C71" l="1"/>
  <c r="F39"/>
  <c r="F24" s="1"/>
  <c r="C24"/>
  <c r="D45" l="1"/>
  <c r="B71"/>
  <c r="F71"/>
  <c r="P52"/>
  <c r="Q52"/>
  <c r="P53"/>
  <c r="Q53"/>
  <c r="O62"/>
  <c r="L22"/>
  <c r="L55"/>
  <c r="H70"/>
  <c r="E70"/>
  <c r="H69"/>
  <c r="E69"/>
  <c r="H68"/>
  <c r="E68"/>
  <c r="H67"/>
  <c r="E67"/>
  <c r="H66"/>
  <c r="E66"/>
  <c r="H65"/>
  <c r="E65"/>
  <c r="H64"/>
  <c r="E64"/>
  <c r="H63"/>
  <c r="E63"/>
  <c r="H61"/>
  <c r="E61"/>
  <c r="E60"/>
  <c r="E58"/>
  <c r="H57"/>
  <c r="E57"/>
  <c r="H56"/>
  <c r="E56"/>
  <c r="H54"/>
  <c r="E54"/>
  <c r="E52"/>
  <c r="H51"/>
  <c r="E51"/>
  <c r="H50"/>
  <c r="E50"/>
  <c r="H49"/>
  <c r="E49"/>
  <c r="H48"/>
  <c r="E48"/>
  <c r="H47"/>
  <c r="E47"/>
  <c r="H44"/>
  <c r="E44"/>
  <c r="H43"/>
  <c r="E43"/>
  <c r="H42"/>
  <c r="E42"/>
  <c r="H41"/>
  <c r="E41"/>
  <c r="H40"/>
  <c r="E40"/>
  <c r="H38"/>
  <c r="E38"/>
  <c r="H37"/>
  <c r="E37"/>
  <c r="H36"/>
  <c r="E36"/>
  <c r="H34"/>
  <c r="E34"/>
  <c r="H33"/>
  <c r="E33"/>
  <c r="H31"/>
  <c r="E31"/>
  <c r="H29"/>
  <c r="E29"/>
  <c r="H28"/>
  <c r="E28"/>
  <c r="H27"/>
  <c r="E27"/>
  <c r="H26"/>
  <c r="E26"/>
  <c r="H23"/>
  <c r="E23"/>
  <c r="H22"/>
  <c r="E22"/>
  <c r="H19"/>
  <c r="E19"/>
  <c r="H17"/>
  <c r="E17"/>
  <c r="H16"/>
  <c r="E16"/>
  <c r="H15"/>
  <c r="E15"/>
  <c r="G25" l="1"/>
  <c r="G45"/>
  <c r="P55"/>
  <c r="E14"/>
  <c r="E20"/>
  <c r="E21"/>
  <c r="E35"/>
  <c r="H12"/>
  <c r="H10"/>
  <c r="H59"/>
  <c r="H14"/>
  <c r="H25"/>
  <c r="H35"/>
  <c r="E39"/>
  <c r="E13"/>
  <c r="H21"/>
  <c r="H32"/>
  <c r="H39"/>
  <c r="E59"/>
  <c r="E12"/>
  <c r="E25"/>
  <c r="H62"/>
  <c r="H20"/>
  <c r="E30"/>
  <c r="E10"/>
  <c r="H30"/>
  <c r="E32"/>
  <c r="E62"/>
  <c r="P15"/>
  <c r="Q15"/>
  <c r="P16"/>
  <c r="Q16"/>
  <c r="P17"/>
  <c r="Q17"/>
  <c r="P19"/>
  <c r="Q19"/>
  <c r="P22"/>
  <c r="Q22"/>
  <c r="P23"/>
  <c r="Q23"/>
  <c r="P26"/>
  <c r="Q26"/>
  <c r="P27"/>
  <c r="Q27"/>
  <c r="P28"/>
  <c r="Q28"/>
  <c r="P29"/>
  <c r="Q29"/>
  <c r="P31"/>
  <c r="Q31"/>
  <c r="P33"/>
  <c r="Q33"/>
  <c r="P34"/>
  <c r="Q34"/>
  <c r="P36"/>
  <c r="Q36"/>
  <c r="P37"/>
  <c r="Q37"/>
  <c r="P38"/>
  <c r="Q38"/>
  <c r="P40"/>
  <c r="Q40"/>
  <c r="P41"/>
  <c r="Q41"/>
  <c r="P42"/>
  <c r="Q42"/>
  <c r="P43"/>
  <c r="Q43"/>
  <c r="P44"/>
  <c r="Q44"/>
  <c r="P47"/>
  <c r="Q47"/>
  <c r="P48"/>
  <c r="Q48"/>
  <c r="P49"/>
  <c r="Q49"/>
  <c r="P50"/>
  <c r="Q50"/>
  <c r="P51"/>
  <c r="Q51"/>
  <c r="P54"/>
  <c r="Q54"/>
  <c r="P56"/>
  <c r="Q56"/>
  <c r="P57"/>
  <c r="Q57"/>
  <c r="P58"/>
  <c r="Q58"/>
  <c r="P60"/>
  <c r="Q60"/>
  <c r="Q61"/>
  <c r="P63"/>
  <c r="Q63"/>
  <c r="P64"/>
  <c r="Q64"/>
  <c r="P65"/>
  <c r="Q65"/>
  <c r="P66"/>
  <c r="Q66"/>
  <c r="P67"/>
  <c r="Q67"/>
  <c r="P68"/>
  <c r="Q68"/>
  <c r="P69"/>
  <c r="Q69"/>
  <c r="P70"/>
  <c r="Q70"/>
  <c r="L12"/>
  <c r="L14"/>
  <c r="L15"/>
  <c r="L16"/>
  <c r="L17"/>
  <c r="L19"/>
  <c r="L23"/>
  <c r="L25"/>
  <c r="L26"/>
  <c r="L27"/>
  <c r="L28"/>
  <c r="L29"/>
  <c r="L31"/>
  <c r="L33"/>
  <c r="L34"/>
  <c r="L36"/>
  <c r="L37"/>
  <c r="L38"/>
  <c r="L40"/>
  <c r="L41"/>
  <c r="L42"/>
  <c r="L43"/>
  <c r="L47"/>
  <c r="L48"/>
  <c r="L49"/>
  <c r="L50"/>
  <c r="L51"/>
  <c r="L52"/>
  <c r="L54"/>
  <c r="L56"/>
  <c r="L57"/>
  <c r="L58"/>
  <c r="L60"/>
  <c r="L61"/>
  <c r="L63"/>
  <c r="L64"/>
  <c r="L65"/>
  <c r="L66"/>
  <c r="L67"/>
  <c r="L68"/>
  <c r="L69"/>
  <c r="L70"/>
  <c r="E24" l="1"/>
  <c r="H13"/>
  <c r="E18"/>
  <c r="H18"/>
  <c r="E11"/>
  <c r="H11"/>
  <c r="H24"/>
  <c r="E9"/>
  <c r="Q21"/>
  <c r="P14" l="1"/>
  <c r="Q14"/>
  <c r="Q62"/>
  <c r="Q13"/>
  <c r="P21"/>
  <c r="P20"/>
  <c r="Q20"/>
  <c r="H9"/>
  <c r="G9" l="1"/>
  <c r="L20"/>
  <c r="G61"/>
  <c r="G58"/>
  <c r="G57"/>
  <c r="G56"/>
  <c r="G54"/>
  <c r="G31"/>
  <c r="G23"/>
  <c r="G16"/>
  <c r="G60"/>
  <c r="G59"/>
  <c r="G52"/>
  <c r="G51"/>
  <c r="G50"/>
  <c r="G49"/>
  <c r="G48"/>
  <c r="G47"/>
  <c r="G44"/>
  <c r="G43"/>
  <c r="G42"/>
  <c r="G41"/>
  <c r="G40"/>
  <c r="G39"/>
  <c r="G29"/>
  <c r="G28"/>
  <c r="G27"/>
  <c r="G26"/>
  <c r="G22"/>
  <c r="G21"/>
  <c r="G20"/>
  <c r="G15"/>
  <c r="G12"/>
  <c r="G34"/>
  <c r="G32"/>
  <c r="G17"/>
  <c r="G71"/>
  <c r="G38"/>
  <c r="G37"/>
  <c r="G36"/>
  <c r="G19"/>
  <c r="H71"/>
  <c r="G70"/>
  <c r="G69"/>
  <c r="G68"/>
  <c r="G67"/>
  <c r="G66"/>
  <c r="G65"/>
  <c r="G64"/>
  <c r="G63"/>
  <c r="G62"/>
  <c r="G33"/>
  <c r="G10"/>
  <c r="G11"/>
  <c r="G14"/>
  <c r="G30"/>
  <c r="G18"/>
  <c r="G13"/>
  <c r="G24"/>
  <c r="E71"/>
  <c r="D38"/>
  <c r="D37"/>
  <c r="D36"/>
  <c r="D19"/>
  <c r="D70"/>
  <c r="D69"/>
  <c r="D68"/>
  <c r="D67"/>
  <c r="D66"/>
  <c r="D65"/>
  <c r="D64"/>
  <c r="D63"/>
  <c r="D34"/>
  <c r="D33"/>
  <c r="D30"/>
  <c r="D17"/>
  <c r="D52"/>
  <c r="D50"/>
  <c r="D49"/>
  <c r="D47"/>
  <c r="D44"/>
  <c r="D42"/>
  <c r="D40"/>
  <c r="D35"/>
  <c r="D28"/>
  <c r="D27"/>
  <c r="D15"/>
  <c r="D61"/>
  <c r="D58"/>
  <c r="D57"/>
  <c r="D56"/>
  <c r="D54"/>
  <c r="D31"/>
  <c r="D23"/>
  <c r="D16"/>
  <c r="D71"/>
  <c r="D60"/>
  <c r="D51"/>
  <c r="D48"/>
  <c r="D43"/>
  <c r="D41"/>
  <c r="D29"/>
  <c r="D26"/>
  <c r="D22"/>
  <c r="D14"/>
  <c r="D10"/>
  <c r="D12"/>
  <c r="D21"/>
  <c r="D39"/>
  <c r="D62"/>
  <c r="D20"/>
  <c r="D32"/>
  <c r="D25"/>
  <c r="D13"/>
  <c r="D59"/>
  <c r="D18"/>
  <c r="D11"/>
  <c r="D24"/>
  <c r="D9"/>
  <c r="G35" l="1"/>
  <c r="P62"/>
  <c r="Q10" l="1"/>
  <c r="L11" l="1"/>
  <c r="P10"/>
  <c r="L10"/>
  <c r="L62"/>
  <c r="M39"/>
  <c r="I39"/>
  <c r="Q35"/>
  <c r="I35"/>
  <c r="L21"/>
  <c r="Q39" l="1"/>
  <c r="O39"/>
  <c r="L39"/>
  <c r="P39"/>
  <c r="P35"/>
  <c r="L35"/>
  <c r="P13"/>
  <c r="L13"/>
  <c r="M11"/>
  <c r="M9" l="1"/>
  <c r="O11"/>
  <c r="Q12"/>
  <c r="P12"/>
  <c r="Q11" l="1"/>
  <c r="P11"/>
  <c r="I32"/>
  <c r="J32"/>
  <c r="O32" s="1"/>
  <c r="J59"/>
  <c r="L59" s="1"/>
  <c r="M59"/>
  <c r="Q32"/>
  <c r="M30"/>
  <c r="I30"/>
  <c r="E144" i="7"/>
  <c r="H143"/>
  <c r="E143"/>
  <c r="H142"/>
  <c r="E142"/>
  <c r="H141"/>
  <c r="E141"/>
  <c r="H140"/>
  <c r="E140"/>
  <c r="F139"/>
  <c r="C139"/>
  <c r="H139" s="1"/>
  <c r="B139"/>
  <c r="H138"/>
  <c r="E138"/>
  <c r="H137"/>
  <c r="E137"/>
  <c r="E136"/>
  <c r="H135"/>
  <c r="E135"/>
  <c r="F134"/>
  <c r="C134"/>
  <c r="E134" s="1"/>
  <c r="H133"/>
  <c r="E133"/>
  <c r="E132"/>
  <c r="H131"/>
  <c r="E131"/>
  <c r="E130"/>
  <c r="H129"/>
  <c r="E129"/>
  <c r="E128"/>
  <c r="H127"/>
  <c r="E127"/>
  <c r="H126"/>
  <c r="E126"/>
  <c r="H125"/>
  <c r="E125"/>
  <c r="H124"/>
  <c r="E124"/>
  <c r="E123"/>
  <c r="H122"/>
  <c r="E122"/>
  <c r="H121"/>
  <c r="E121"/>
  <c r="H120"/>
  <c r="E120"/>
  <c r="H119"/>
  <c r="E119"/>
  <c r="F118"/>
  <c r="C118"/>
  <c r="E118" s="1"/>
  <c r="H117"/>
  <c r="E117"/>
  <c r="H116"/>
  <c r="E116"/>
  <c r="F115"/>
  <c r="F107" s="1"/>
  <c r="C115"/>
  <c r="E115" s="1"/>
  <c r="E114"/>
  <c r="F113"/>
  <c r="C113"/>
  <c r="E113" s="1"/>
  <c r="H112"/>
  <c r="E112"/>
  <c r="H111"/>
  <c r="E111"/>
  <c r="H110"/>
  <c r="E110"/>
  <c r="H109"/>
  <c r="E109"/>
  <c r="H108"/>
  <c r="E108"/>
  <c r="B107"/>
  <c r="E106"/>
  <c r="E105"/>
  <c r="E104"/>
  <c r="E103"/>
  <c r="H102"/>
  <c r="E102"/>
  <c r="H101"/>
  <c r="E101"/>
  <c r="H100"/>
  <c r="E100"/>
  <c r="H99"/>
  <c r="E99"/>
  <c r="H98"/>
  <c r="E98"/>
  <c r="H97"/>
  <c r="E97"/>
  <c r="H96"/>
  <c r="E96"/>
  <c r="I95"/>
  <c r="J95" s="1"/>
  <c r="H95"/>
  <c r="E95"/>
  <c r="E94"/>
  <c r="E93"/>
  <c r="E92"/>
  <c r="E91"/>
  <c r="H90"/>
  <c r="E90"/>
  <c r="H89"/>
  <c r="E89"/>
  <c r="E88"/>
  <c r="E87"/>
  <c r="J86"/>
  <c r="K86" s="1"/>
  <c r="H86"/>
  <c r="E86"/>
  <c r="E85"/>
  <c r="F84"/>
  <c r="C84"/>
  <c r="E84" s="1"/>
  <c r="H83"/>
  <c r="E83"/>
  <c r="B82"/>
  <c r="H81"/>
  <c r="E81"/>
  <c r="H80"/>
  <c r="E80"/>
  <c r="H79"/>
  <c r="E79"/>
  <c r="F78"/>
  <c r="C78"/>
  <c r="B78"/>
  <c r="H76"/>
  <c r="E76"/>
  <c r="E75"/>
  <c r="F74"/>
  <c r="C74"/>
  <c r="B74"/>
  <c r="H73"/>
  <c r="E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E61"/>
  <c r="F60"/>
  <c r="C60"/>
  <c r="H60" s="1"/>
  <c r="B60"/>
  <c r="H59"/>
  <c r="E59"/>
  <c r="E58"/>
  <c r="H57"/>
  <c r="E57"/>
  <c r="F56"/>
  <c r="C56"/>
  <c r="E56" s="1"/>
  <c r="B56"/>
  <c r="H55"/>
  <c r="E55"/>
  <c r="H54"/>
  <c r="E54"/>
  <c r="F53"/>
  <c r="C53"/>
  <c r="B53"/>
  <c r="E53" s="1"/>
  <c r="H52"/>
  <c r="E52"/>
  <c r="E51"/>
  <c r="H50"/>
  <c r="E50"/>
  <c r="H49"/>
  <c r="E49"/>
  <c r="E48"/>
  <c r="H47"/>
  <c r="E47"/>
  <c r="H46"/>
  <c r="E46"/>
  <c r="F45"/>
  <c r="C45"/>
  <c r="B45"/>
  <c r="B44" s="1"/>
  <c r="H42"/>
  <c r="E42"/>
  <c r="H41"/>
  <c r="E41"/>
  <c r="H40"/>
  <c r="E40"/>
  <c r="F39"/>
  <c r="C39"/>
  <c r="H39" s="1"/>
  <c r="B39"/>
  <c r="H38"/>
  <c r="E38"/>
  <c r="H37"/>
  <c r="E37"/>
  <c r="F36"/>
  <c r="C36"/>
  <c r="B36"/>
  <c r="E36" s="1"/>
  <c r="H35"/>
  <c r="E35"/>
  <c r="H34"/>
  <c r="E34"/>
  <c r="F33"/>
  <c r="F31" s="1"/>
  <c r="C33"/>
  <c r="B33"/>
  <c r="H32"/>
  <c r="E32"/>
  <c r="H30"/>
  <c r="E30"/>
  <c r="H29"/>
  <c r="E29"/>
  <c r="H28"/>
  <c r="E28"/>
  <c r="H27"/>
  <c r="E27"/>
  <c r="H26"/>
  <c r="E26"/>
  <c r="H25"/>
  <c r="E25"/>
  <c r="H24"/>
  <c r="E24"/>
  <c r="E23"/>
  <c r="H22"/>
  <c r="E22"/>
  <c r="H21"/>
  <c r="E21"/>
  <c r="H20"/>
  <c r="E20"/>
  <c r="H19"/>
  <c r="E19"/>
  <c r="F18"/>
  <c r="F17" s="1"/>
  <c r="C18"/>
  <c r="B18"/>
  <c r="B17" s="1"/>
  <c r="H16"/>
  <c r="E16"/>
  <c r="E15"/>
  <c r="H14"/>
  <c r="E14"/>
  <c r="H13"/>
  <c r="E13"/>
  <c r="H12"/>
  <c r="E12"/>
  <c r="H11"/>
  <c r="E11"/>
  <c r="F10"/>
  <c r="C10"/>
  <c r="C8" s="1"/>
  <c r="B10"/>
  <c r="B8" s="1"/>
  <c r="H9"/>
  <c r="E9"/>
  <c r="C82"/>
  <c r="H134"/>
  <c r="F8"/>
  <c r="J85"/>
  <c r="K85" s="1"/>
  <c r="C31"/>
  <c r="L44"/>
  <c r="Q30" i="5" l="1"/>
  <c r="O59"/>
  <c r="I24"/>
  <c r="E60" i="7"/>
  <c r="C107"/>
  <c r="C77" s="1"/>
  <c r="H8"/>
  <c r="H10"/>
  <c r="B31"/>
  <c r="B7" s="1"/>
  <c r="E45"/>
  <c r="H53"/>
  <c r="E78"/>
  <c r="B77"/>
  <c r="E77" s="1"/>
  <c r="H84"/>
  <c r="P25" i="5"/>
  <c r="Q25"/>
  <c r="Q59"/>
  <c r="P59"/>
  <c r="L32"/>
  <c r="P32"/>
  <c r="F82" i="7"/>
  <c r="F77" s="1"/>
  <c r="E82"/>
  <c r="E18"/>
  <c r="H33"/>
  <c r="H36"/>
  <c r="H45"/>
  <c r="M24" i="5"/>
  <c r="M71" s="1"/>
  <c r="E39" i="7"/>
  <c r="H56"/>
  <c r="E74"/>
  <c r="H107"/>
  <c r="E139"/>
  <c r="H78"/>
  <c r="H113"/>
  <c r="J30" i="5"/>
  <c r="O30" s="1"/>
  <c r="H115" i="7"/>
  <c r="E10"/>
  <c r="C44"/>
  <c r="E44" s="1"/>
  <c r="H74"/>
  <c r="E33"/>
  <c r="H31"/>
  <c r="F44"/>
  <c r="H44" s="1"/>
  <c r="E107"/>
  <c r="H118"/>
  <c r="H82"/>
  <c r="C17"/>
  <c r="H18"/>
  <c r="E8"/>
  <c r="F7"/>
  <c r="Q24" i="5" l="1"/>
  <c r="Q9"/>
  <c r="E31" i="7"/>
  <c r="P30" i="5"/>
  <c r="L30"/>
  <c r="Q18"/>
  <c r="I71"/>
  <c r="J24"/>
  <c r="O24" s="1"/>
  <c r="E17" i="7"/>
  <c r="C7"/>
  <c r="C145" s="1"/>
  <c r="D77" s="1"/>
  <c r="H17"/>
  <c r="H77"/>
  <c r="F145"/>
  <c r="B145"/>
  <c r="E7"/>
  <c r="D95"/>
  <c r="D115"/>
  <c r="D135"/>
  <c r="D83"/>
  <c r="D139"/>
  <c r="D91"/>
  <c r="D44"/>
  <c r="D45"/>
  <c r="D17"/>
  <c r="D116"/>
  <c r="D107"/>
  <c r="D85"/>
  <c r="D123"/>
  <c r="D120"/>
  <c r="D98"/>
  <c r="D105"/>
  <c r="D13"/>
  <c r="D103" l="1"/>
  <c r="D114"/>
  <c r="D65"/>
  <c r="D88"/>
  <c r="D8"/>
  <c r="D34"/>
  <c r="D86"/>
  <c r="D9"/>
  <c r="D35"/>
  <c r="D48"/>
  <c r="D46"/>
  <c r="D51"/>
  <c r="D49"/>
  <c r="D55"/>
  <c r="P24" i="5"/>
  <c r="L24"/>
  <c r="P18"/>
  <c r="L18"/>
  <c r="D41" i="7"/>
  <c r="D131"/>
  <c r="D100"/>
  <c r="D142"/>
  <c r="D144"/>
  <c r="D111"/>
  <c r="D15"/>
  <c r="D127"/>
  <c r="D12"/>
  <c r="D125"/>
  <c r="D21"/>
  <c r="D138"/>
  <c r="D16"/>
  <c r="D132"/>
  <c r="D32"/>
  <c r="D7"/>
  <c r="H7"/>
  <c r="D78"/>
  <c r="D59"/>
  <c r="D60"/>
  <c r="D80"/>
  <c r="D63"/>
  <c r="D113"/>
  <c r="D22"/>
  <c r="D129"/>
  <c r="D133"/>
  <c r="D122"/>
  <c r="D79"/>
  <c r="D66"/>
  <c r="D29"/>
  <c r="D64"/>
  <c r="D96"/>
  <c r="D84"/>
  <c r="P9" i="5"/>
  <c r="D31" i="7"/>
  <c r="D119"/>
  <c r="D52"/>
  <c r="D92"/>
  <c r="D18"/>
  <c r="D54"/>
  <c r="D69"/>
  <c r="D110"/>
  <c r="D33"/>
  <c r="D74"/>
  <c r="D70"/>
  <c r="D140"/>
  <c r="D10"/>
  <c r="D47"/>
  <c r="D97"/>
  <c r="D90"/>
  <c r="D56"/>
  <c r="D40"/>
  <c r="D89"/>
  <c r="D71"/>
  <c r="D121"/>
  <c r="D61"/>
  <c r="D101"/>
  <c r="D104"/>
  <c r="D102"/>
  <c r="D50"/>
  <c r="D99"/>
  <c r="D93"/>
  <c r="D42"/>
  <c r="D130"/>
  <c r="D106"/>
  <c r="D109"/>
  <c r="M44"/>
  <c r="E145"/>
  <c r="D11"/>
  <c r="D27"/>
  <c r="D73"/>
  <c r="D141"/>
  <c r="D19"/>
  <c r="D38"/>
  <c r="D87"/>
  <c r="D53"/>
  <c r="D37"/>
  <c r="D67"/>
  <c r="D108"/>
  <c r="D82"/>
  <c r="D117"/>
  <c r="D136"/>
  <c r="D124"/>
  <c r="D134"/>
  <c r="D94"/>
  <c r="D72"/>
  <c r="D112"/>
  <c r="D118"/>
  <c r="D23"/>
  <c r="D58"/>
  <c r="D128"/>
  <c r="D36"/>
  <c r="D14"/>
  <c r="D145"/>
  <c r="D126"/>
  <c r="D39"/>
  <c r="D57"/>
  <c r="D68"/>
  <c r="D137"/>
  <c r="G131"/>
  <c r="G87"/>
  <c r="G127"/>
  <c r="H145"/>
  <c r="G65"/>
  <c r="G118"/>
  <c r="G67"/>
  <c r="G50"/>
  <c r="G26"/>
  <c r="G120"/>
  <c r="G48"/>
  <c r="G88"/>
  <c r="G52"/>
  <c r="G78"/>
  <c r="G21"/>
  <c r="G39"/>
  <c r="G74"/>
  <c r="G142"/>
  <c r="G110"/>
  <c r="G141"/>
  <c r="G105"/>
  <c r="G76"/>
  <c r="G123"/>
  <c r="G94"/>
  <c r="G60"/>
  <c r="G34"/>
  <c r="G13"/>
  <c r="G62"/>
  <c r="G116"/>
  <c r="G97"/>
  <c r="G41"/>
  <c r="G73"/>
  <c r="G15"/>
  <c r="G113"/>
  <c r="G107"/>
  <c r="G126"/>
  <c r="G75"/>
  <c r="G114"/>
  <c r="G117"/>
  <c r="G144"/>
  <c r="G100"/>
  <c r="G57"/>
  <c r="G45"/>
  <c r="G24"/>
  <c r="G103"/>
  <c r="G38"/>
  <c r="G43"/>
  <c r="G35"/>
  <c r="G14"/>
  <c r="G12"/>
  <c r="G53"/>
  <c r="G44"/>
  <c r="G137"/>
  <c r="G95"/>
  <c r="G132"/>
  <c r="G93"/>
  <c r="G71"/>
  <c r="G119"/>
  <c r="G69"/>
  <c r="G54"/>
  <c r="G29"/>
  <c r="G122"/>
  <c r="G49"/>
  <c r="G99"/>
  <c r="G64"/>
  <c r="G81"/>
  <c r="G27"/>
  <c r="G18"/>
  <c r="G31"/>
  <c r="G104"/>
  <c r="G58"/>
  <c r="G30"/>
  <c r="G55"/>
  <c r="G85"/>
  <c r="G68"/>
  <c r="G84"/>
  <c r="G124"/>
  <c r="G70"/>
  <c r="G91"/>
  <c r="G98"/>
  <c r="G40"/>
  <c r="G80"/>
  <c r="G42"/>
  <c r="G135"/>
  <c r="G23"/>
  <c r="G112"/>
  <c r="G145"/>
  <c r="G109"/>
  <c r="G83"/>
  <c r="G130"/>
  <c r="G96"/>
  <c r="G90"/>
  <c r="G37"/>
  <c r="G19"/>
  <c r="G66"/>
  <c r="G129"/>
  <c r="G22"/>
  <c r="G56"/>
  <c r="G101"/>
  <c r="G89"/>
  <c r="G36"/>
  <c r="G82"/>
  <c r="G128"/>
  <c r="G86"/>
  <c r="G125"/>
  <c r="G136"/>
  <c r="G63"/>
  <c r="G102"/>
  <c r="G61"/>
  <c r="G47"/>
  <c r="G25"/>
  <c r="G115"/>
  <c r="G46"/>
  <c r="G59"/>
  <c r="G51"/>
  <c r="G28"/>
  <c r="G16"/>
  <c r="G139"/>
  <c r="G8"/>
  <c r="G140"/>
  <c r="G108"/>
  <c r="G138"/>
  <c r="G72"/>
  <c r="G121"/>
  <c r="G79"/>
  <c r="G11"/>
  <c r="G106"/>
  <c r="G32"/>
  <c r="G10"/>
  <c r="G111"/>
  <c r="G133"/>
  <c r="G134"/>
  <c r="G20"/>
  <c r="G143"/>
  <c r="G9"/>
  <c r="G33"/>
  <c r="G17"/>
  <c r="G7"/>
  <c r="G77"/>
  <c r="N16" i="5" l="1"/>
  <c r="N18"/>
  <c r="N20"/>
  <c r="N22"/>
  <c r="N26"/>
  <c r="N28"/>
  <c r="N30"/>
  <c r="N32"/>
  <c r="N34"/>
  <c r="N36"/>
  <c r="N38"/>
  <c r="N40"/>
  <c r="N42"/>
  <c r="N44"/>
  <c r="N47"/>
  <c r="N49"/>
  <c r="N51"/>
  <c r="N53"/>
  <c r="N58"/>
  <c r="N60"/>
  <c r="N68"/>
  <c r="N11"/>
  <c r="N13"/>
  <c r="N15"/>
  <c r="N54"/>
  <c r="N56"/>
  <c r="N61"/>
  <c r="N63"/>
  <c r="N65"/>
  <c r="N67"/>
  <c r="N71"/>
  <c r="N9"/>
  <c r="N17"/>
  <c r="N19"/>
  <c r="N21"/>
  <c r="N23"/>
  <c r="N25"/>
  <c r="N27"/>
  <c r="N29"/>
  <c r="N31"/>
  <c r="N33"/>
  <c r="N35"/>
  <c r="N37"/>
  <c r="N43"/>
  <c r="N46"/>
  <c r="N48"/>
  <c r="N50"/>
  <c r="N52"/>
  <c r="N59"/>
  <c r="N69"/>
  <c r="N10"/>
  <c r="N14"/>
  <c r="N64"/>
  <c r="N41"/>
  <c r="N12"/>
  <c r="N55"/>
  <c r="N57"/>
  <c r="N62"/>
  <c r="N66"/>
  <c r="N70"/>
  <c r="N39"/>
  <c r="N24"/>
  <c r="L9"/>
  <c r="J71"/>
  <c r="O71" s="1"/>
  <c r="Q71"/>
  <c r="K46" l="1"/>
  <c r="K55"/>
  <c r="K12"/>
  <c r="K19"/>
  <c r="K22"/>
  <c r="K23"/>
  <c r="K24"/>
  <c r="K26"/>
  <c r="K28"/>
  <c r="K30"/>
  <c r="K32"/>
  <c r="K34"/>
  <c r="K36"/>
  <c r="K38"/>
  <c r="K41"/>
  <c r="K44"/>
  <c r="K47"/>
  <c r="K49"/>
  <c r="K51"/>
  <c r="K54"/>
  <c r="K56"/>
  <c r="K58"/>
  <c r="K60"/>
  <c r="K62"/>
  <c r="K64"/>
  <c r="K66"/>
  <c r="K68"/>
  <c r="K70"/>
  <c r="K11"/>
  <c r="K14"/>
  <c r="K15"/>
  <c r="K16"/>
  <c r="K10"/>
  <c r="K13"/>
  <c r="K21"/>
  <c r="K25"/>
  <c r="K27"/>
  <c r="K29"/>
  <c r="K31"/>
  <c r="K33"/>
  <c r="K35"/>
  <c r="K37"/>
  <c r="K39"/>
  <c r="K40"/>
  <c r="K42"/>
  <c r="K43"/>
  <c r="K48"/>
  <c r="K50"/>
  <c r="K52"/>
  <c r="K57"/>
  <c r="K59"/>
  <c r="K61"/>
  <c r="K63"/>
  <c r="K65"/>
  <c r="K67"/>
  <c r="K69"/>
  <c r="K71"/>
  <c r="K17"/>
  <c r="K20"/>
  <c r="P71"/>
  <c r="K18"/>
  <c r="K9"/>
</calcChain>
</file>

<file path=xl/sharedStrings.xml><?xml version="1.0" encoding="utf-8"?>
<sst xmlns="http://schemas.openxmlformats.org/spreadsheetml/2006/main" count="254" uniqueCount="203">
  <si>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</si>
  <si>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</si>
  <si>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</si>
  <si>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</si>
  <si>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</si>
  <si>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</si>
  <si>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</si>
  <si>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</si>
  <si>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</si>
  <si>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</si>
  <si>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</si>
  <si>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</si>
  <si>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</si>
  <si>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</si>
  <si>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</si>
  <si>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</si>
  <si>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</si>
  <si>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</si>
  <si>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</si>
  <si>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</si>
  <si>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</si>
  <si>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</si>
  <si>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</si>
  <si>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</si>
  <si>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</si>
  <si>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</si>
  <si>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</si>
  <si>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</si>
  <si>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</si>
  <si>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</si>
  <si>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</si>
  <si>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</si>
  <si>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</si>
  <si>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</si>
  <si>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</si>
  <si>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</si>
  <si>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</si>
  <si>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</si>
  <si>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</si>
  <si>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</si>
  <si>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</si>
  <si>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</si>
  <si>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</si>
  <si>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</si>
  <si>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</si>
  <si>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</si>
  <si>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</si>
  <si>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</si>
  <si>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</si>
  <si>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</si>
  <si>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</si>
  <si>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</si>
  <si>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</si>
  <si>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</si>
  <si>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</si>
  <si>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</si>
  <si>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</si>
  <si>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</si>
  <si>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</si>
  <si>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</si>
  <si>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</si>
  <si>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</si>
  <si>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</si>
  <si>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</si>
  <si>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</si>
  <si>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</si>
  <si>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</si>
  <si>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</si>
  <si>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</si>
  <si>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</si>
  <si>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</si>
  <si>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</si>
  <si>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</si>
  <si>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</si>
  <si>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</si>
  <si>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</si>
  <si>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</si>
  <si>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</si>
  <si>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</si>
  <si>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</si>
  <si>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</si>
  <si>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</si>
  <si>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</si>
  <si>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</si>
  <si>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</si>
  <si>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</si>
  <si>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</si>
  <si>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</si>
  <si>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</si>
  <si>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</si>
  <si>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</si>
  <si>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</si>
  <si>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</si>
  <si>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</si>
  <si>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</si>
  <si>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</si>
  <si>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</si>
  <si>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</si>
  <si>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</si>
  <si>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</si>
  <si>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</si>
  <si>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</si>
  <si>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</si>
  <si>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</si>
  <si>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</si>
  <si>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</si>
  <si>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</si>
  <si>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</si>
  <si>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</si>
  <si>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</si>
  <si>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</si>
  <si>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</si>
  <si>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</si>
  <si>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</si>
  <si>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</si>
  <si>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</si>
  <si>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</si>
  <si>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</si>
  <si>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</si>
  <si>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</si>
  <si>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</si>
  <si>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</si>
  <si>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</si>
  <si>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</si>
  <si>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</si>
  <si>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</si>
  <si>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</si>
  <si>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</si>
  <si>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</si>
  <si>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</si>
  <si>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</si>
  <si>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</si>
  <si>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</si>
  <si>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</si>
  <si>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</si>
  <si>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</si>
  <si>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</si>
  <si>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</si>
  <si>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</si>
  <si>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</si>
  <si>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</si>
  <si>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</si>
  <si>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</si>
  <si>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</si>
  <si>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</si>
  <si>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</si>
  <si>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</si>
  <si>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</si>
  <si>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</si>
  <si>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</si>
  <si>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</si>
  <si>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</si>
  <si>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</si>
  <si>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</si>
  <si>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</si>
  <si>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</si>
  <si>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</si>
  <si>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</si>
  <si>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</si>
  <si>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</si>
  <si>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</si>
  <si>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</si>
  <si>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</si>
  <si>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</si>
  <si>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Прочие безвозмездные поступления в бюджеты городских округов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</si>
  <si>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</si>
  <si>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</si>
  <si>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Доходы от оказания платных услуг (работ) и компенсации затрат государства</t>
  </si>
  <si>
    <t>Доходы бюджетов городских округов от возврата бюджетными учреждениями остатков субсидий прошлых лет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</si>
  <si>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</si>
  <si>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</si>
  <si>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</si>
  <si>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</si>
  <si>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Прочие денежные взыскания (штрафы) за правонарушения в области дорожного движения</t>
  </si>
  <si>
    <t>Денежные взыскания (штрафы) за нарушения законодательства о промышленной безопасности</t>
  </si>
  <si>
    <t>Доходы бюджетов городских округов от возврата автономными учреждениями остатков субсидий прошлых лет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</si>
  <si>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 </t>
  </si>
  <si>
    <t>2016 год</t>
  </si>
  <si>
    <t>Уточнённый  план, руб.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</si>
  <si>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</si>
  <si>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</si>
  <si>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электроэнергетике (федеральные государственные органы, Банк России, органы управления государственными внебюджетными фондами Российской Федерации)</t>
  </si>
  <si>
    <t>Приложение № 2 к                                               заключению Счётной палаты</t>
  </si>
  <si>
    <t>Сравнительный анализ исполнения доходной части бюджета за 2016-2017 годы</t>
  </si>
  <si>
    <t>2017 год</t>
  </si>
  <si>
    <t>исполнения и уточнённого плана 2017 года, руб.</t>
  </si>
  <si>
    <t>исполнения 2017 года и 2016 года, руб.</t>
  </si>
  <si>
    <t>Налог на имущество физических лиц</t>
  </si>
  <si>
    <t>Налог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</si>
  <si>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</si>
  <si>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</si>
  <si>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</si>
  <si>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</si>
  <si>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</si>
  <si>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</si>
  <si>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</si>
  <si>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</si>
  <si>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</si>
  <si>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</si>
  <si>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Денежные взыскания (штрафы) за нарушение законодательства Российской Федерации о недрах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</si>
  <si>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</si>
  <si>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% испол-нения уточнён- ного плана </t>
  </si>
  <si>
    <t xml:space="preserve">% испол- нения уточнён- ного плана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</si>
</sst>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(* #,##0.00_);_(* \-#,##0.00;_(* &quot;&quot;??_);_(@_)"/>
    <numFmt numFmtId="166" formatCode="000000"/>
    <numFmt numFmtId="167" formatCode="#,##0.00_ ;\-#,##0.00\ "/>
  </numFmts>
  <fonts count="17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61">
    <xf numFmtId="0" fontId="0" fillId="0" borderId="0" xfId="0"/>
    <xf numFmtId="0" fontId="1" fillId="0" borderId="0" xfId="0" applyFont="1" applyAlignment="1">
      <alignment horizontal="justify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5" fontId="15" fillId="0" borderId="1" xfId="0" applyNumberFormat="1" applyFont="1" applyFill="1" applyBorder="1" applyAlignment="1">
      <alignment horizontal="right" vertical="center"/>
    </xf>
    <xf numFmtId="43" fontId="12" fillId="0" borderId="0" xfId="0" applyNumberFormat="1" applyFont="1"/>
    <xf numFmtId="43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4" fontId="1" fillId="0" borderId="2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5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165" fontId="2" fillId="2" borderId="1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" fillId="2" borderId="1" xfId="0" applyFont="1" applyFill="1" applyBorder="1" applyAlignment="1">
      <alignment horizontal="left" wrapText="1"/>
    </xf>
    <xf numFmtId="43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1" xfId="3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Fill="1" applyBorder="1"/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43" fontId="7" fillId="0" borderId="0" xfId="0" applyNumberFormat="1" applyFont="1" applyFill="1"/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/>
    <xf numFmtId="0" fontId="5" fillId="0" borderId="0" xfId="0" applyFont="1" applyFill="1"/>
    <xf numFmtId="49" fontId="1" fillId="0" borderId="1" xfId="3" applyNumberFormat="1" applyFont="1" applyFill="1" applyBorder="1" applyAlignment="1">
      <alignment horizontal="left" wrapText="1"/>
    </xf>
    <xf numFmtId="166" fontId="1" fillId="0" borderId="1" xfId="3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1" fontId="1" fillId="0" borderId="1" xfId="0" applyNumberFormat="1" applyFont="1" applyFill="1" applyBorder="1" applyAlignment="1">
      <alignment horizontal="left" vertical="center" wrapText="1"/>
    </xf>
    <xf numFmtId="10" fontId="5" fillId="0" borderId="0" xfId="0" applyNumberFormat="1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43" fontId="5" fillId="0" borderId="0" xfId="0" applyNumberFormat="1" applyFont="1" applyFill="1"/>
    <xf numFmtId="0" fontId="9" fillId="0" borderId="0" xfId="0" applyFont="1" applyFill="1"/>
    <xf numFmtId="43" fontId="9" fillId="0" borderId="0" xfId="0" applyNumberFormat="1" applyFont="1" applyFill="1"/>
    <xf numFmtId="165" fontId="9" fillId="0" borderId="0" xfId="0" applyNumberFormat="1" applyFont="1" applyFill="1"/>
    <xf numFmtId="4" fontId="9" fillId="0" borderId="0" xfId="0" applyNumberFormat="1" applyFont="1" applyFill="1"/>
    <xf numFmtId="4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view="pageBreakPreview" zoomScale="90" zoomScaleNormal="100" zoomScaleSheetLayoutView="90" workbookViewId="0">
      <pane xSplit="1" ySplit="8" topLeftCell="B60" activePane="bottomRight" state="frozen"/>
      <selection pane="topRight" activeCell="B1" sqref="B1"/>
      <selection pane="bottomLeft" activeCell="A7" sqref="A7"/>
      <selection pane="bottomRight" activeCell="M26" sqref="M26"/>
    </sheetView>
  </sheetViews>
  <sheetFormatPr defaultColWidth="9.140625" defaultRowHeight="15"/>
  <cols>
    <col min="1" max="1" width="53" style="90" customWidth="1"/>
    <col min="2" max="2" width="17.42578125" style="125" customWidth="1"/>
    <col min="3" max="3" width="17.28515625" style="138" customWidth="1"/>
    <col min="4" max="4" width="10" style="125" customWidth="1"/>
    <col min="5" max="5" width="17.7109375" style="125" customWidth="1"/>
    <col min="6" max="6" width="17.42578125" style="125" customWidth="1"/>
    <col min="7" max="7" width="10" style="125" customWidth="1"/>
    <col min="8" max="8" width="9" style="125" customWidth="1"/>
    <col min="9" max="9" width="17.42578125" style="102" customWidth="1"/>
    <col min="10" max="10" width="17.42578125" style="91" customWidth="1"/>
    <col min="11" max="11" width="10.42578125" style="91" customWidth="1"/>
    <col min="12" max="12" width="15.5703125" style="91" customWidth="1"/>
    <col min="13" max="13" width="17.7109375" style="91" customWidth="1"/>
    <col min="14" max="14" width="10.140625" style="91" customWidth="1"/>
    <col min="15" max="15" width="11" style="91" customWidth="1"/>
    <col min="16" max="16" width="15.42578125" style="79" customWidth="1"/>
    <col min="17" max="17" width="15.85546875" style="79" customWidth="1"/>
    <col min="18" max="18" width="16" style="83" customWidth="1"/>
    <col min="19" max="16384" width="9.140625" style="83"/>
  </cols>
  <sheetData>
    <row r="1" spans="1:18" s="114" customFormat="1" ht="26.25" customHeight="1">
      <c r="A1" s="112"/>
      <c r="B1" s="113"/>
      <c r="C1" s="113"/>
      <c r="D1" s="113"/>
      <c r="E1" s="113"/>
      <c r="F1" s="113"/>
      <c r="G1" s="113"/>
      <c r="H1" s="113"/>
      <c r="I1" s="102"/>
      <c r="J1" s="91"/>
      <c r="K1" s="91"/>
      <c r="L1" s="91"/>
      <c r="M1" s="91"/>
      <c r="N1" s="91"/>
      <c r="O1" s="91"/>
      <c r="P1" s="143" t="s">
        <v>182</v>
      </c>
      <c r="Q1" s="144"/>
    </row>
    <row r="2" spans="1:18" s="114" customFormat="1">
      <c r="A2" s="115"/>
      <c r="B2" s="113"/>
      <c r="C2" s="113"/>
      <c r="D2" s="113"/>
      <c r="E2" s="113"/>
      <c r="F2" s="113"/>
      <c r="G2" s="113"/>
      <c r="H2" s="113"/>
      <c r="I2" s="102"/>
      <c r="J2" s="91"/>
      <c r="K2" s="91"/>
      <c r="L2" s="91"/>
      <c r="M2" s="91"/>
      <c r="N2" s="91"/>
      <c r="O2" s="91"/>
      <c r="P2" s="144"/>
      <c r="Q2" s="144"/>
    </row>
    <row r="3" spans="1:18" s="114" customFormat="1">
      <c r="A3" s="115"/>
      <c r="B3" s="113"/>
      <c r="C3" s="113"/>
      <c r="D3" s="113"/>
      <c r="E3" s="113"/>
      <c r="F3" s="113"/>
      <c r="G3" s="113"/>
      <c r="H3" s="113"/>
      <c r="I3" s="102"/>
      <c r="J3" s="91"/>
      <c r="K3" s="91"/>
      <c r="L3" s="91"/>
      <c r="M3" s="91"/>
      <c r="N3" s="91"/>
      <c r="O3" s="91"/>
      <c r="P3" s="102"/>
      <c r="Q3" s="91"/>
    </row>
    <row r="4" spans="1:18" s="114" customFormat="1">
      <c r="A4" s="145" t="s">
        <v>183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</row>
    <row r="5" spans="1:18" s="114" customFormat="1">
      <c r="A5" s="116"/>
      <c r="C5" s="117"/>
      <c r="I5" s="103"/>
      <c r="J5" s="92"/>
      <c r="K5" s="92"/>
      <c r="L5" s="92"/>
      <c r="M5" s="92"/>
      <c r="N5" s="92"/>
      <c r="O5" s="92"/>
      <c r="P5" s="92"/>
      <c r="Q5" s="92"/>
    </row>
    <row r="6" spans="1:18" s="118" customFormat="1" ht="21.75" customHeight="1">
      <c r="A6" s="149" t="s">
        <v>0</v>
      </c>
      <c r="B6" s="147" t="s">
        <v>177</v>
      </c>
      <c r="C6" s="147"/>
      <c r="D6" s="147"/>
      <c r="E6" s="147"/>
      <c r="F6" s="147"/>
      <c r="G6" s="147"/>
      <c r="H6" s="148"/>
      <c r="I6" s="147" t="s">
        <v>184</v>
      </c>
      <c r="J6" s="147"/>
      <c r="K6" s="147"/>
      <c r="L6" s="147"/>
      <c r="M6" s="147"/>
      <c r="N6" s="147"/>
      <c r="O6" s="148"/>
      <c r="P6" s="147" t="s">
        <v>56</v>
      </c>
      <c r="Q6" s="148"/>
    </row>
    <row r="7" spans="1:18" s="118" customFormat="1" ht="85.5">
      <c r="A7" s="150"/>
      <c r="B7" s="93" t="s">
        <v>142</v>
      </c>
      <c r="C7" s="93" t="s">
        <v>178</v>
      </c>
      <c r="D7" s="104" t="s">
        <v>87</v>
      </c>
      <c r="E7" s="93" t="s">
        <v>117</v>
      </c>
      <c r="F7" s="93" t="s">
        <v>75</v>
      </c>
      <c r="G7" s="104" t="s">
        <v>87</v>
      </c>
      <c r="H7" s="105" t="s">
        <v>201</v>
      </c>
      <c r="I7" s="93" t="s">
        <v>142</v>
      </c>
      <c r="J7" s="93" t="s">
        <v>178</v>
      </c>
      <c r="K7" s="104" t="s">
        <v>87</v>
      </c>
      <c r="L7" s="93" t="s">
        <v>117</v>
      </c>
      <c r="M7" s="93" t="s">
        <v>75</v>
      </c>
      <c r="N7" s="104" t="s">
        <v>87</v>
      </c>
      <c r="O7" s="105" t="s">
        <v>202</v>
      </c>
      <c r="P7" s="93" t="s">
        <v>185</v>
      </c>
      <c r="Q7" s="119" t="s">
        <v>186</v>
      </c>
    </row>
    <row r="8" spans="1:18" s="120" customFormat="1" ht="21.75" customHeight="1">
      <c r="A8" s="94">
        <v>1</v>
      </c>
      <c r="B8" s="106">
        <v>2</v>
      </c>
      <c r="C8" s="94">
        <v>3</v>
      </c>
      <c r="D8" s="106">
        <v>4</v>
      </c>
      <c r="E8" s="106">
        <v>5</v>
      </c>
      <c r="F8" s="94">
        <v>6</v>
      </c>
      <c r="G8" s="106">
        <v>7</v>
      </c>
      <c r="H8" s="106">
        <v>8</v>
      </c>
      <c r="I8" s="106">
        <v>9</v>
      </c>
      <c r="J8" s="94">
        <v>10</v>
      </c>
      <c r="K8" s="106">
        <v>11</v>
      </c>
      <c r="L8" s="106">
        <v>12</v>
      </c>
      <c r="M8" s="94">
        <v>13</v>
      </c>
      <c r="N8" s="106">
        <v>14</v>
      </c>
      <c r="O8" s="106">
        <v>15</v>
      </c>
      <c r="P8" s="94">
        <v>16</v>
      </c>
      <c r="Q8" s="106">
        <v>17</v>
      </c>
    </row>
    <row r="9" spans="1:18" s="118" customFormat="1" ht="14.25">
      <c r="A9" s="121" t="s">
        <v>49</v>
      </c>
      <c r="B9" s="95">
        <f>B10+B13+B18+B21+B11</f>
        <v>1703747800</v>
      </c>
      <c r="C9" s="95">
        <f>C10+C13+C18+C21+C11</f>
        <v>1763048600</v>
      </c>
      <c r="D9" s="107">
        <f t="shared" ref="D9:D45" si="0">C9/C$71*100</f>
        <v>24.553028348849143</v>
      </c>
      <c r="E9" s="107">
        <f>C9-B9</f>
        <v>59300800</v>
      </c>
      <c r="F9" s="95">
        <f>F10+F13+F18+F21+F11</f>
        <v>1868126168.6499999</v>
      </c>
      <c r="G9" s="107">
        <f t="shared" ref="G9:G34" si="1">F9/F$71*100</f>
        <v>25.762299089678393</v>
      </c>
      <c r="H9" s="107">
        <f>F9/C9*100</f>
        <v>105.95999274495324</v>
      </c>
      <c r="I9" s="95">
        <f>I10+I13+I18+I21+I11</f>
        <v>1802888100</v>
      </c>
      <c r="J9" s="95">
        <f>J10+J13+J18+J21+J11</f>
        <v>2024260622</v>
      </c>
      <c r="K9" s="107">
        <f t="shared" ref="K9:K44" si="2">J9/J$71*100</f>
        <v>30.069240871953028</v>
      </c>
      <c r="L9" s="107">
        <f>J9-I9</f>
        <v>221372522</v>
      </c>
      <c r="M9" s="95">
        <f>M10+M13+M18+M21+M11</f>
        <v>2120292726.1899998</v>
      </c>
      <c r="N9" s="107">
        <f t="shared" ref="N9:N44" si="3">M9/M$71*100</f>
        <v>30.895843444933487</v>
      </c>
      <c r="O9" s="107">
        <f>M9/J9*100</f>
        <v>104.74405830683592</v>
      </c>
      <c r="P9" s="107">
        <f>M9-J9</f>
        <v>96032104.189999819</v>
      </c>
      <c r="Q9" s="107">
        <f>M9-F9</f>
        <v>252166557.53999996</v>
      </c>
      <c r="R9" s="122"/>
    </row>
    <row r="10" spans="1:18" s="125" customFormat="1">
      <c r="A10" s="123" t="s">
        <v>1</v>
      </c>
      <c r="B10" s="96">
        <v>1239510000</v>
      </c>
      <c r="C10" s="96">
        <v>1321500000</v>
      </c>
      <c r="D10" s="108">
        <f t="shared" si="0"/>
        <v>18.403818796035541</v>
      </c>
      <c r="E10" s="108">
        <f t="shared" ref="E10:E41" si="4">C10-B10</f>
        <v>81990000</v>
      </c>
      <c r="F10" s="96">
        <v>1409870497.97</v>
      </c>
      <c r="G10" s="108">
        <f t="shared" si="1"/>
        <v>19.442747527413882</v>
      </c>
      <c r="H10" s="108">
        <f t="shared" ref="H10:H12" si="5">F10/C10*100</f>
        <v>106.68713567688232</v>
      </c>
      <c r="I10" s="96">
        <v>1334788400</v>
      </c>
      <c r="J10" s="96">
        <v>1511200000</v>
      </c>
      <c r="K10" s="108">
        <f t="shared" si="2"/>
        <v>22.448016975600396</v>
      </c>
      <c r="L10" s="108">
        <f t="shared" ref="L10:L41" si="6">J10-I10</f>
        <v>176411600</v>
      </c>
      <c r="M10" s="96">
        <f>1559055453.6+7218275.07+5975725.84+8581843.44</f>
        <v>1580831297.9499998</v>
      </c>
      <c r="N10" s="108">
        <f t="shared" si="3"/>
        <v>23.035081755941249</v>
      </c>
      <c r="O10" s="108">
        <f t="shared" ref="O10:O71" si="7">M10/J10*100</f>
        <v>104.6076825006617</v>
      </c>
      <c r="P10" s="108">
        <f t="shared" ref="P10:P41" si="8">M10-J10</f>
        <v>69631297.949999809</v>
      </c>
      <c r="Q10" s="108">
        <f t="shared" ref="Q10:Q41" si="9">M10-F10</f>
        <v>170960799.97999978</v>
      </c>
      <c r="R10" s="124"/>
    </row>
    <row r="11" spans="1:18" s="125" customFormat="1" ht="30">
      <c r="A11" s="126" t="s">
        <v>169</v>
      </c>
      <c r="B11" s="97">
        <f>B12</f>
        <v>5921800</v>
      </c>
      <c r="C11" s="97">
        <f>C12</f>
        <v>7000000</v>
      </c>
      <c r="D11" s="108">
        <f t="shared" si="0"/>
        <v>9.7485230096291162E-2</v>
      </c>
      <c r="E11" s="108">
        <f t="shared" si="4"/>
        <v>1078200</v>
      </c>
      <c r="F11" s="97">
        <f>F12</f>
        <v>8521707.3399999999</v>
      </c>
      <c r="G11" s="108">
        <f t="shared" si="1"/>
        <v>0.11751817245108086</v>
      </c>
      <c r="H11" s="108">
        <f t="shared" si="5"/>
        <v>121.73867628571429</v>
      </c>
      <c r="I11" s="97">
        <f>I12</f>
        <v>8648100</v>
      </c>
      <c r="J11" s="97">
        <f>J12</f>
        <v>6857022</v>
      </c>
      <c r="K11" s="108">
        <f t="shared" si="2"/>
        <v>0.10185716401407184</v>
      </c>
      <c r="L11" s="108">
        <f>J11-I11</f>
        <v>-1791078</v>
      </c>
      <c r="M11" s="97">
        <f>M12</f>
        <v>6969803.3399999999</v>
      </c>
      <c r="N11" s="108">
        <f t="shared" si="3"/>
        <v>0.10156048274596496</v>
      </c>
      <c r="O11" s="108">
        <f t="shared" si="7"/>
        <v>101.64475686383972</v>
      </c>
      <c r="P11" s="108">
        <f t="shared" si="8"/>
        <v>112781.33999999985</v>
      </c>
      <c r="Q11" s="108">
        <f t="shared" si="9"/>
        <v>-1551904</v>
      </c>
      <c r="R11" s="124">
        <f>M10/M9*100</f>
        <v>74.557219313327082</v>
      </c>
    </row>
    <row r="12" spans="1:18" s="125" customFormat="1" ht="30">
      <c r="A12" s="127" t="s">
        <v>170</v>
      </c>
      <c r="B12" s="97">
        <v>5921800</v>
      </c>
      <c r="C12" s="97">
        <v>7000000</v>
      </c>
      <c r="D12" s="108">
        <f t="shared" si="0"/>
        <v>9.7485230096291162E-2</v>
      </c>
      <c r="E12" s="108">
        <f t="shared" si="4"/>
        <v>1078200</v>
      </c>
      <c r="F12" s="97">
        <v>8521707.3399999999</v>
      </c>
      <c r="G12" s="108">
        <f t="shared" si="1"/>
        <v>0.11751817245108086</v>
      </c>
      <c r="H12" s="108">
        <f t="shared" si="5"/>
        <v>121.73867628571429</v>
      </c>
      <c r="I12" s="97">
        <v>8648100</v>
      </c>
      <c r="J12" s="97">
        <v>6857022</v>
      </c>
      <c r="K12" s="108">
        <f t="shared" si="2"/>
        <v>0.10185716401407184</v>
      </c>
      <c r="L12" s="108">
        <f t="shared" si="6"/>
        <v>-1791078</v>
      </c>
      <c r="M12" s="97">
        <f>2863887.84+29073.24+4631509.6+-554667.34</f>
        <v>6969803.3399999999</v>
      </c>
      <c r="N12" s="108">
        <f t="shared" si="3"/>
        <v>0.10156048274596496</v>
      </c>
      <c r="O12" s="108">
        <f t="shared" si="7"/>
        <v>101.64475686383972</v>
      </c>
      <c r="P12" s="108">
        <f t="shared" si="8"/>
        <v>112781.33999999985</v>
      </c>
      <c r="Q12" s="108">
        <f t="shared" si="9"/>
        <v>-1551904</v>
      </c>
      <c r="R12" s="124"/>
    </row>
    <row r="13" spans="1:18" s="125" customFormat="1">
      <c r="A13" s="123" t="s">
        <v>7</v>
      </c>
      <c r="B13" s="96">
        <f>B14+B15+B16+B17</f>
        <v>309481000</v>
      </c>
      <c r="C13" s="96">
        <f>C14+C15+C16+C17</f>
        <v>303261200</v>
      </c>
      <c r="D13" s="108">
        <f t="shared" si="0"/>
        <v>4.2233554087539105</v>
      </c>
      <c r="E13" s="108">
        <f t="shared" si="4"/>
        <v>-6219800</v>
      </c>
      <c r="F13" s="96">
        <f>F14+F15+F16+F17</f>
        <v>320061718.01999998</v>
      </c>
      <c r="G13" s="108">
        <f t="shared" si="1"/>
        <v>4.4137948737938668</v>
      </c>
      <c r="H13" s="108">
        <f t="shared" ref="H13:H14" si="10">F13/C13*100</f>
        <v>105.53994972650638</v>
      </c>
      <c r="I13" s="96">
        <f>I14+I15+I16+I17</f>
        <v>303940600</v>
      </c>
      <c r="J13" s="96">
        <f>J14+J15+J16+J17</f>
        <v>377958600</v>
      </c>
      <c r="K13" s="108">
        <f t="shared" si="2"/>
        <v>5.6143601567457377</v>
      </c>
      <c r="L13" s="108">
        <f t="shared" si="6"/>
        <v>74018000</v>
      </c>
      <c r="M13" s="96">
        <f>M14+M15+M16+M17</f>
        <v>393826751.5</v>
      </c>
      <c r="N13" s="108">
        <f t="shared" si="3"/>
        <v>5.7386461352602796</v>
      </c>
      <c r="O13" s="108">
        <f t="shared" si="7"/>
        <v>104.19838350020345</v>
      </c>
      <c r="P13" s="108">
        <f t="shared" si="8"/>
        <v>15868151.5</v>
      </c>
      <c r="Q13" s="108">
        <f t="shared" si="9"/>
        <v>73765033.480000019</v>
      </c>
      <c r="R13" s="128"/>
    </row>
    <row r="14" spans="1:18" s="125" customFormat="1" ht="30">
      <c r="A14" s="129" t="s">
        <v>166</v>
      </c>
      <c r="B14" s="96">
        <v>189831000</v>
      </c>
      <c r="C14" s="96">
        <v>201627000</v>
      </c>
      <c r="D14" s="108">
        <f t="shared" si="0"/>
        <v>2.8079506412321287</v>
      </c>
      <c r="E14" s="108">
        <f t="shared" si="4"/>
        <v>11796000</v>
      </c>
      <c r="F14" s="96">
        <v>209903042.52000001</v>
      </c>
      <c r="G14" s="108">
        <f t="shared" si="1"/>
        <v>2.8946572517323648</v>
      </c>
      <c r="H14" s="108">
        <f t="shared" si="10"/>
        <v>104.10463009418382</v>
      </c>
      <c r="I14" s="96">
        <v>187982000</v>
      </c>
      <c r="J14" s="96">
        <v>275000000</v>
      </c>
      <c r="K14" s="108">
        <f t="shared" si="2"/>
        <v>4.0849686793873135</v>
      </c>
      <c r="L14" s="108">
        <f t="shared" si="6"/>
        <v>87018000</v>
      </c>
      <c r="M14" s="96">
        <f>222136111.26+40937+62973781.7+66275.62-2108276.56</f>
        <v>283108829.01999998</v>
      </c>
      <c r="N14" s="108">
        <f t="shared" si="3"/>
        <v>4.1253200330493192</v>
      </c>
      <c r="O14" s="108">
        <f t="shared" si="7"/>
        <v>102.94866509818181</v>
      </c>
      <c r="P14" s="108">
        <f t="shared" si="8"/>
        <v>8108829.0199999809</v>
      </c>
      <c r="Q14" s="108">
        <f t="shared" si="9"/>
        <v>73205786.49999997</v>
      </c>
      <c r="R14" s="130"/>
    </row>
    <row r="15" spans="1:18" s="125" customFormat="1" ht="30">
      <c r="A15" s="129" t="s">
        <v>119</v>
      </c>
      <c r="B15" s="96">
        <v>100000000</v>
      </c>
      <c r="C15" s="96">
        <v>84300000</v>
      </c>
      <c r="D15" s="108">
        <f t="shared" si="0"/>
        <v>1.1740006995881922</v>
      </c>
      <c r="E15" s="108">
        <f t="shared" si="4"/>
        <v>-15700000</v>
      </c>
      <c r="F15" s="96">
        <f>84361071.8+156062</f>
        <v>84517133.799999997</v>
      </c>
      <c r="G15" s="108">
        <f t="shared" si="1"/>
        <v>1.1655292429908153</v>
      </c>
      <c r="H15" s="108">
        <f t="shared" ref="H15" si="11">F15/C15*100</f>
        <v>100.25757271648872</v>
      </c>
      <c r="I15" s="96">
        <v>95000000</v>
      </c>
      <c r="J15" s="96">
        <v>79000000</v>
      </c>
      <c r="K15" s="108">
        <f t="shared" si="2"/>
        <v>1.1735000933512647</v>
      </c>
      <c r="L15" s="108">
        <f t="shared" si="6"/>
        <v>-16000000</v>
      </c>
      <c r="M15" s="96">
        <f>80553473.15+419438.73</f>
        <v>80972911.88000001</v>
      </c>
      <c r="N15" s="108">
        <f t="shared" si="3"/>
        <v>1.1798967085173573</v>
      </c>
      <c r="O15" s="108">
        <f t="shared" si="7"/>
        <v>102.49735681012659</v>
      </c>
      <c r="P15" s="108">
        <f t="shared" si="8"/>
        <v>1972911.8800000101</v>
      </c>
      <c r="Q15" s="108">
        <f t="shared" si="9"/>
        <v>-3544221.9199999869</v>
      </c>
      <c r="R15" s="124"/>
    </row>
    <row r="16" spans="1:18" s="125" customFormat="1">
      <c r="A16" s="129" t="s">
        <v>50</v>
      </c>
      <c r="B16" s="96">
        <v>650000</v>
      </c>
      <c r="C16" s="96">
        <v>534200</v>
      </c>
      <c r="D16" s="108">
        <f t="shared" si="0"/>
        <v>7.439515702491249E-3</v>
      </c>
      <c r="E16" s="108">
        <f t="shared" si="4"/>
        <v>-115800</v>
      </c>
      <c r="F16" s="96">
        <v>534689.31000000006</v>
      </c>
      <c r="G16" s="108">
        <f t="shared" si="1"/>
        <v>7.3736057850033428E-3</v>
      </c>
      <c r="H16" s="108">
        <f t="shared" ref="H16" si="12">F16/C16*100</f>
        <v>100.09159678023214</v>
      </c>
      <c r="I16" s="96">
        <v>650000</v>
      </c>
      <c r="J16" s="96">
        <v>650000</v>
      </c>
      <c r="K16" s="108">
        <f t="shared" si="2"/>
        <v>9.6553805149154695E-3</v>
      </c>
      <c r="L16" s="108">
        <f t="shared" si="6"/>
        <v>0</v>
      </c>
      <c r="M16" s="96">
        <v>680913.68</v>
      </c>
      <c r="N16" s="108">
        <f t="shared" si="3"/>
        <v>9.9219330411023498E-3</v>
      </c>
      <c r="O16" s="108">
        <f t="shared" si="7"/>
        <v>104.75595076923079</v>
      </c>
      <c r="P16" s="108">
        <f t="shared" si="8"/>
        <v>30913.680000000051</v>
      </c>
      <c r="Q16" s="108">
        <f t="shared" si="9"/>
        <v>146224.37</v>
      </c>
      <c r="R16" s="124"/>
    </row>
    <row r="17" spans="1:18" s="125" customFormat="1" ht="30">
      <c r="A17" s="129" t="s">
        <v>188</v>
      </c>
      <c r="B17" s="98">
        <v>19000000</v>
      </c>
      <c r="C17" s="98">
        <v>16800000</v>
      </c>
      <c r="D17" s="108">
        <f t="shared" si="0"/>
        <v>0.2339645522310988</v>
      </c>
      <c r="E17" s="108">
        <f t="shared" si="4"/>
        <v>-2200000</v>
      </c>
      <c r="F17" s="98">
        <v>25106852.390000001</v>
      </c>
      <c r="G17" s="108">
        <f t="shared" si="1"/>
        <v>0.34623477328568431</v>
      </c>
      <c r="H17" s="108">
        <f t="shared" ref="H17:H20" si="13">F17/C17*100</f>
        <v>149.44554994047618</v>
      </c>
      <c r="I17" s="98">
        <v>20308600</v>
      </c>
      <c r="J17" s="98">
        <v>23308600</v>
      </c>
      <c r="K17" s="108">
        <f t="shared" si="2"/>
        <v>0.34623600349224415</v>
      </c>
      <c r="L17" s="108">
        <f t="shared" si="6"/>
        <v>3000000</v>
      </c>
      <c r="M17" s="98">
        <v>29064096.920000002</v>
      </c>
      <c r="N17" s="108">
        <f t="shared" si="3"/>
        <v>0.42350746065250011</v>
      </c>
      <c r="O17" s="108">
        <f t="shared" si="7"/>
        <v>124.69258951631588</v>
      </c>
      <c r="P17" s="108">
        <f t="shared" si="8"/>
        <v>5755496.9200000018</v>
      </c>
      <c r="Q17" s="108">
        <f t="shared" si="9"/>
        <v>3957244.5300000012</v>
      </c>
      <c r="R17" s="124"/>
    </row>
    <row r="18" spans="1:18" s="125" customFormat="1">
      <c r="A18" s="129" t="s">
        <v>10</v>
      </c>
      <c r="B18" s="96">
        <f>B19+B20</f>
        <v>127125000</v>
      </c>
      <c r="C18" s="96">
        <f>C19+C20</f>
        <v>109500000</v>
      </c>
      <c r="D18" s="108">
        <f t="shared" si="0"/>
        <v>1.5249475279348403</v>
      </c>
      <c r="E18" s="108">
        <f t="shared" si="4"/>
        <v>-17625000</v>
      </c>
      <c r="F18" s="96">
        <f>F19+F20</f>
        <v>106283390.83000001</v>
      </c>
      <c r="G18" s="108">
        <f t="shared" si="1"/>
        <v>1.4656957055562962</v>
      </c>
      <c r="H18" s="108">
        <f t="shared" si="13"/>
        <v>97.062457378995447</v>
      </c>
      <c r="I18" s="96">
        <f>I19+I20</f>
        <v>133705000</v>
      </c>
      <c r="J18" s="96">
        <f>J19+J20</f>
        <v>106425000</v>
      </c>
      <c r="K18" s="108">
        <f t="shared" si="2"/>
        <v>1.5808828789228906</v>
      </c>
      <c r="L18" s="108">
        <f t="shared" si="6"/>
        <v>-27280000</v>
      </c>
      <c r="M18" s="96">
        <f>M19+M20</f>
        <v>117546127.19</v>
      </c>
      <c r="N18" s="108">
        <f t="shared" si="3"/>
        <v>1.7128232806544292</v>
      </c>
      <c r="O18" s="108">
        <f t="shared" si="7"/>
        <v>110.44973191449377</v>
      </c>
      <c r="P18" s="108">
        <f t="shared" si="8"/>
        <v>11121127.189999998</v>
      </c>
      <c r="Q18" s="108">
        <f t="shared" si="9"/>
        <v>11262736.359999985</v>
      </c>
      <c r="R18" s="130"/>
    </row>
    <row r="19" spans="1:18" s="125" customFormat="1">
      <c r="A19" s="131" t="s">
        <v>187</v>
      </c>
      <c r="B19" s="96">
        <v>46925000</v>
      </c>
      <c r="C19" s="96">
        <v>32500000</v>
      </c>
      <c r="D19" s="108">
        <f t="shared" si="0"/>
        <v>0.45260999687563758</v>
      </c>
      <c r="E19" s="108">
        <f t="shared" si="4"/>
        <v>-14425000</v>
      </c>
      <c r="F19" s="96">
        <v>32419901.43</v>
      </c>
      <c r="G19" s="108">
        <f t="shared" si="1"/>
        <v>0.44708500481052466</v>
      </c>
      <c r="H19" s="108">
        <f t="shared" si="13"/>
        <v>99.753542861538463</v>
      </c>
      <c r="I19" s="96">
        <v>46925000</v>
      </c>
      <c r="J19" s="96">
        <v>39925000</v>
      </c>
      <c r="K19" s="108">
        <f t="shared" si="2"/>
        <v>0.59306318008923098</v>
      </c>
      <c r="L19" s="108">
        <f t="shared" si="6"/>
        <v>-7000000</v>
      </c>
      <c r="M19" s="96">
        <f>49114276.23</f>
        <v>49114276.229999997</v>
      </c>
      <c r="N19" s="108">
        <f t="shared" si="3"/>
        <v>0.715668629416088</v>
      </c>
      <c r="O19" s="108">
        <f t="shared" si="7"/>
        <v>123.01634622417031</v>
      </c>
      <c r="P19" s="108">
        <f t="shared" si="8"/>
        <v>9189276.2299999967</v>
      </c>
      <c r="Q19" s="108">
        <f t="shared" si="9"/>
        <v>16694374.799999997</v>
      </c>
      <c r="R19" s="124"/>
    </row>
    <row r="20" spans="1:18" s="125" customFormat="1">
      <c r="A20" s="131" t="s">
        <v>12</v>
      </c>
      <c r="B20" s="96">
        <v>80200000</v>
      </c>
      <c r="C20" s="96">
        <v>77000000</v>
      </c>
      <c r="D20" s="108">
        <f t="shared" si="0"/>
        <v>1.0723375310592027</v>
      </c>
      <c r="E20" s="108">
        <f t="shared" si="4"/>
        <v>-3200000</v>
      </c>
      <c r="F20" s="96">
        <v>73863489.400000006</v>
      </c>
      <c r="G20" s="108">
        <f t="shared" si="1"/>
        <v>1.0186107007457714</v>
      </c>
      <c r="H20" s="108">
        <f t="shared" si="13"/>
        <v>95.926609610389619</v>
      </c>
      <c r="I20" s="96">
        <v>86780000</v>
      </c>
      <c r="J20" s="96">
        <v>66500000</v>
      </c>
      <c r="K20" s="108">
        <f t="shared" si="2"/>
        <v>0.9878196988336595</v>
      </c>
      <c r="L20" s="108">
        <f t="shared" si="6"/>
        <v>-20280000</v>
      </c>
      <c r="M20" s="96">
        <f>52035759.76+16396091.2</f>
        <v>68431850.959999993</v>
      </c>
      <c r="N20" s="108">
        <f t="shared" si="3"/>
        <v>0.99715465123834135</v>
      </c>
      <c r="O20" s="108">
        <f t="shared" si="7"/>
        <v>102.90503903759398</v>
      </c>
      <c r="P20" s="108">
        <f t="shared" si="8"/>
        <v>1931850.9599999934</v>
      </c>
      <c r="Q20" s="108">
        <f t="shared" si="9"/>
        <v>-5431638.4400000125</v>
      </c>
      <c r="R20" s="124"/>
    </row>
    <row r="21" spans="1:18" s="125" customFormat="1">
      <c r="A21" s="129" t="s">
        <v>18</v>
      </c>
      <c r="B21" s="96">
        <f>B22+B23</f>
        <v>21710000</v>
      </c>
      <c r="C21" s="96">
        <f>C22+C23</f>
        <v>21787400</v>
      </c>
      <c r="D21" s="108">
        <f t="shared" si="0"/>
        <v>0.303421386028562</v>
      </c>
      <c r="E21" s="108">
        <f t="shared" si="4"/>
        <v>77400</v>
      </c>
      <c r="F21" s="96">
        <f>F22+F23</f>
        <v>23388854.489999998</v>
      </c>
      <c r="G21" s="108">
        <f t="shared" si="1"/>
        <v>0.32254281046326766</v>
      </c>
      <c r="H21" s="108">
        <f t="shared" ref="H21:H22" si="14">F21/C21*100</f>
        <v>107.35036989269027</v>
      </c>
      <c r="I21" s="96">
        <f>I22+I23</f>
        <v>21806000</v>
      </c>
      <c r="J21" s="96">
        <f>J22+J23</f>
        <v>21820000</v>
      </c>
      <c r="K21" s="108">
        <f t="shared" si="2"/>
        <v>0.32412369666993157</v>
      </c>
      <c r="L21" s="108">
        <f t="shared" si="6"/>
        <v>14000</v>
      </c>
      <c r="M21" s="96">
        <f>M22+M23</f>
        <v>21118746.210000001</v>
      </c>
      <c r="N21" s="108">
        <f t="shared" si="3"/>
        <v>0.30773179033156456</v>
      </c>
      <c r="O21" s="108">
        <f t="shared" si="7"/>
        <v>96.786187946837771</v>
      </c>
      <c r="P21" s="108">
        <f t="shared" si="8"/>
        <v>-701253.78999999911</v>
      </c>
      <c r="Q21" s="108">
        <f t="shared" si="9"/>
        <v>-2270108.2799999975</v>
      </c>
      <c r="R21" s="124"/>
    </row>
    <row r="22" spans="1:18" s="125" customFormat="1" ht="30">
      <c r="A22" s="131" t="s">
        <v>189</v>
      </c>
      <c r="B22" s="96">
        <v>21700000</v>
      </c>
      <c r="C22" s="96">
        <v>21700000</v>
      </c>
      <c r="D22" s="108">
        <f t="shared" si="0"/>
        <v>0.30220421329850261</v>
      </c>
      <c r="E22" s="108">
        <f t="shared" si="4"/>
        <v>0</v>
      </c>
      <c r="F22" s="96">
        <v>23293254.489999998</v>
      </c>
      <c r="G22" s="108">
        <f t="shared" si="1"/>
        <v>0.32122444351658919</v>
      </c>
      <c r="H22" s="108">
        <f t="shared" si="14"/>
        <v>107.34218658986174</v>
      </c>
      <c r="I22" s="96">
        <v>21700000</v>
      </c>
      <c r="J22" s="96">
        <v>21700000</v>
      </c>
      <c r="K22" s="108">
        <f t="shared" si="2"/>
        <v>0.32234116488256259</v>
      </c>
      <c r="L22" s="109">
        <f>J22-I22</f>
        <v>0</v>
      </c>
      <c r="M22" s="96">
        <v>20993546.210000001</v>
      </c>
      <c r="N22" s="108">
        <f t="shared" si="3"/>
        <v>0.30590743865053205</v>
      </c>
      <c r="O22" s="108">
        <f t="shared" si="7"/>
        <v>96.744452580645174</v>
      </c>
      <c r="P22" s="108">
        <f t="shared" si="8"/>
        <v>-706453.78999999911</v>
      </c>
      <c r="Q22" s="108">
        <f t="shared" si="9"/>
        <v>-2299708.2799999975</v>
      </c>
      <c r="R22" s="124"/>
    </row>
    <row r="23" spans="1:18" s="125" customFormat="1" ht="45">
      <c r="A23" s="131" t="s">
        <v>190</v>
      </c>
      <c r="B23" s="96">
        <v>10000</v>
      </c>
      <c r="C23" s="96">
        <f>81000+6400</f>
        <v>87400</v>
      </c>
      <c r="D23" s="108">
        <f t="shared" si="0"/>
        <v>1.2171727300594069E-3</v>
      </c>
      <c r="E23" s="108">
        <f t="shared" si="4"/>
        <v>77400</v>
      </c>
      <c r="F23" s="96">
        <f>86000+9600</f>
        <v>95600</v>
      </c>
      <c r="G23" s="108">
        <f t="shared" si="1"/>
        <v>1.3183669466784729E-3</v>
      </c>
      <c r="H23" s="108">
        <f t="shared" ref="H23" si="15">F23/C23*100</f>
        <v>109.38215102974829</v>
      </c>
      <c r="I23" s="96">
        <v>106000</v>
      </c>
      <c r="J23" s="96">
        <v>120000</v>
      </c>
      <c r="K23" s="108">
        <f t="shared" si="2"/>
        <v>1.7825317873690098E-3</v>
      </c>
      <c r="L23" s="108">
        <f t="shared" si="6"/>
        <v>14000</v>
      </c>
      <c r="M23" s="96">
        <f>10000+115200</f>
        <v>125200</v>
      </c>
      <c r="N23" s="108">
        <f t="shared" si="3"/>
        <v>1.8243516810324829E-3</v>
      </c>
      <c r="O23" s="108">
        <f t="shared" si="7"/>
        <v>104.33333333333333</v>
      </c>
      <c r="P23" s="108">
        <f t="shared" si="8"/>
        <v>5200</v>
      </c>
      <c r="Q23" s="108">
        <f t="shared" si="9"/>
        <v>29600</v>
      </c>
      <c r="R23" s="124"/>
    </row>
    <row r="24" spans="1:18" s="80" customFormat="1" ht="14.25">
      <c r="A24" s="87" t="s">
        <v>20</v>
      </c>
      <c r="B24" s="99">
        <f>B25+B30+B32+B35+B39+B59+B70</f>
        <v>299330000</v>
      </c>
      <c r="C24" s="99">
        <f>C25+C30+C32+C35+C39+C59</f>
        <v>425527844</v>
      </c>
      <c r="D24" s="107">
        <f t="shared" si="0"/>
        <v>5.9260971121026706</v>
      </c>
      <c r="E24" s="107">
        <f t="shared" si="4"/>
        <v>126197844</v>
      </c>
      <c r="F24" s="99">
        <f>F25+F30+F32+F35+F39+F59</f>
        <v>453647852.95999998</v>
      </c>
      <c r="G24" s="107">
        <f t="shared" si="1"/>
        <v>6.2560076859217562</v>
      </c>
      <c r="H24" s="107">
        <f t="shared" ref="H24:H52" si="16">F24/C24*100</f>
        <v>106.60826532423104</v>
      </c>
      <c r="I24" s="99">
        <f>I25+I30+I32+I35+I39+I59+I70</f>
        <v>289504733</v>
      </c>
      <c r="J24" s="99">
        <f>J25+J30+J32+J35+J39+J59</f>
        <v>407266648</v>
      </c>
      <c r="K24" s="107">
        <f t="shared" si="2"/>
        <v>6.0497145499602114</v>
      </c>
      <c r="L24" s="107">
        <f t="shared" si="6"/>
        <v>117761915</v>
      </c>
      <c r="M24" s="99">
        <f>M25+M30+M32+M35+M39+M59</f>
        <v>463733260.83999991</v>
      </c>
      <c r="N24" s="107">
        <f t="shared" si="3"/>
        <v>6.7572887696815398</v>
      </c>
      <c r="O24" s="107">
        <f t="shared" si="7"/>
        <v>113.8647770735206</v>
      </c>
      <c r="P24" s="81">
        <f t="shared" si="8"/>
        <v>56466612.839999914</v>
      </c>
      <c r="Q24" s="81">
        <f t="shared" si="9"/>
        <v>10085407.879999936</v>
      </c>
    </row>
    <row r="25" spans="1:18" s="125" customFormat="1" ht="30">
      <c r="A25" s="129" t="s">
        <v>21</v>
      </c>
      <c r="B25" s="100">
        <f>B26+B27+B28+B29</f>
        <v>245100000</v>
      </c>
      <c r="C25" s="100">
        <f>C26+C27+C28+C29</f>
        <v>361990202</v>
      </c>
      <c r="D25" s="108">
        <f t="shared" si="0"/>
        <v>5.0412425906532743</v>
      </c>
      <c r="E25" s="108">
        <f t="shared" si="4"/>
        <v>116890202</v>
      </c>
      <c r="F25" s="100">
        <f>F26+F27+F28+F29</f>
        <v>380628540.95999998</v>
      </c>
      <c r="G25" s="108">
        <f t="shared" si="1"/>
        <v>5.2490385707543643</v>
      </c>
      <c r="H25" s="108">
        <f t="shared" si="16"/>
        <v>105.14885178024791</v>
      </c>
      <c r="I25" s="100">
        <f>I26+I27+I28+I29</f>
        <v>244950233</v>
      </c>
      <c r="J25" s="100">
        <f>J26+J27+J28+J29</f>
        <v>307970442</v>
      </c>
      <c r="K25" s="108">
        <f t="shared" si="2"/>
        <v>4.5747258536256998</v>
      </c>
      <c r="L25" s="108">
        <f t="shared" si="6"/>
        <v>63020209</v>
      </c>
      <c r="M25" s="100">
        <f>M26+M27+M28+M29</f>
        <v>355557674.85999995</v>
      </c>
      <c r="N25" s="108">
        <f t="shared" si="3"/>
        <v>5.1810083213645521</v>
      </c>
      <c r="O25" s="108">
        <f t="shared" si="7"/>
        <v>115.45188315831945</v>
      </c>
      <c r="P25" s="108">
        <f t="shared" si="8"/>
        <v>47587232.859999955</v>
      </c>
      <c r="Q25" s="108">
        <f t="shared" si="9"/>
        <v>-25070866.100000024</v>
      </c>
    </row>
    <row r="26" spans="1:18" s="125" customFormat="1" ht="75.75" customHeight="1">
      <c r="A26" s="129" t="s">
        <v>191</v>
      </c>
      <c r="B26" s="96">
        <v>1000000</v>
      </c>
      <c r="C26" s="96">
        <v>18511800</v>
      </c>
      <c r="D26" s="108">
        <f t="shared" si="0"/>
        <v>0.25780386892807472</v>
      </c>
      <c r="E26" s="108">
        <f t="shared" si="4"/>
        <v>17511800</v>
      </c>
      <c r="F26" s="96">
        <v>18705293.620000001</v>
      </c>
      <c r="G26" s="108">
        <f t="shared" si="1"/>
        <v>0.25795440205568743</v>
      </c>
      <c r="H26" s="108">
        <f t="shared" si="16"/>
        <v>101.04524476279994</v>
      </c>
      <c r="I26" s="96">
        <v>1000000</v>
      </c>
      <c r="J26" s="96">
        <v>8605700</v>
      </c>
      <c r="K26" s="108">
        <f t="shared" si="2"/>
        <v>0.1278327816880124</v>
      </c>
      <c r="L26" s="108">
        <f t="shared" si="6"/>
        <v>7605700</v>
      </c>
      <c r="M26" s="96">
        <v>8605743.0800000001</v>
      </c>
      <c r="N26" s="108">
        <f t="shared" si="3"/>
        <v>0.12539857711287267</v>
      </c>
      <c r="O26" s="108">
        <f t="shared" si="7"/>
        <v>100.00050059844057</v>
      </c>
      <c r="P26" s="108">
        <f t="shared" si="8"/>
        <v>43.080000000074506</v>
      </c>
      <c r="Q26" s="108">
        <f t="shared" si="9"/>
        <v>-10099550.540000001</v>
      </c>
    </row>
    <row r="27" spans="1:18" s="125" customFormat="1" ht="87" customHeight="1">
      <c r="A27" s="129" t="s">
        <v>200</v>
      </c>
      <c r="B27" s="96">
        <f>226000000+500000+15000000</f>
        <v>241500000</v>
      </c>
      <c r="C27" s="96">
        <f>300000000+700000+39044652</f>
        <v>339744652</v>
      </c>
      <c r="D27" s="108">
        <f t="shared" si="0"/>
        <v>4.7314407963149101</v>
      </c>
      <c r="E27" s="108">
        <f t="shared" si="4"/>
        <v>98244652</v>
      </c>
      <c r="F27" s="96">
        <f>313274604.35+693203.08+44119289.13</f>
        <v>358087096.56</v>
      </c>
      <c r="G27" s="108">
        <f t="shared" si="1"/>
        <v>4.9381819261168056</v>
      </c>
      <c r="H27" s="108">
        <f t="shared" si="16"/>
        <v>105.39889132971547</v>
      </c>
      <c r="I27" s="96">
        <v>241550233</v>
      </c>
      <c r="J27" s="96">
        <v>296387742</v>
      </c>
      <c r="K27" s="108">
        <f t="shared" si="2"/>
        <v>4.4026714291793745</v>
      </c>
      <c r="L27" s="108">
        <f t="shared" si="6"/>
        <v>54837509</v>
      </c>
      <c r="M27" s="96">
        <f>76877629.35+356526.18+44288765.26+222058166.67+235687.08+33488.64</f>
        <v>343850263.17999995</v>
      </c>
      <c r="N27" s="108">
        <f t="shared" si="3"/>
        <v>5.0104137831940463</v>
      </c>
      <c r="O27" s="108">
        <f t="shared" si="7"/>
        <v>116.01365861480193</v>
      </c>
      <c r="P27" s="108">
        <f t="shared" si="8"/>
        <v>47462521.179999948</v>
      </c>
      <c r="Q27" s="108">
        <f t="shared" si="9"/>
        <v>-14236833.380000055</v>
      </c>
    </row>
    <row r="28" spans="1:18" s="125" customFormat="1" ht="30">
      <c r="A28" s="132" t="s">
        <v>192</v>
      </c>
      <c r="B28" s="96">
        <v>100000</v>
      </c>
      <c r="C28" s="96">
        <v>33750</v>
      </c>
      <c r="D28" s="108">
        <f t="shared" si="0"/>
        <v>4.7001807367854671E-4</v>
      </c>
      <c r="E28" s="108">
        <f t="shared" si="4"/>
        <v>-66250</v>
      </c>
      <c r="F28" s="96">
        <v>33750</v>
      </c>
      <c r="G28" s="108">
        <f t="shared" si="1"/>
        <v>4.6542766161504663E-4</v>
      </c>
      <c r="H28" s="108">
        <f t="shared" si="16"/>
        <v>100</v>
      </c>
      <c r="I28" s="96">
        <v>100000</v>
      </c>
      <c r="J28" s="96">
        <v>77000</v>
      </c>
      <c r="K28" s="108">
        <f t="shared" si="2"/>
        <v>1.143791230228448E-3</v>
      </c>
      <c r="L28" s="108">
        <f t="shared" si="6"/>
        <v>-23000</v>
      </c>
      <c r="M28" s="96">
        <v>77000</v>
      </c>
      <c r="N28" s="108">
        <f t="shared" si="3"/>
        <v>1.1220054268330766E-3</v>
      </c>
      <c r="O28" s="108">
        <f t="shared" si="7"/>
        <v>100</v>
      </c>
      <c r="P28" s="108">
        <f t="shared" si="8"/>
        <v>0</v>
      </c>
      <c r="Q28" s="108">
        <f t="shared" si="9"/>
        <v>43250</v>
      </c>
    </row>
    <row r="29" spans="1:18" s="125" customFormat="1" ht="90">
      <c r="A29" s="129" t="s">
        <v>193</v>
      </c>
      <c r="B29" s="96">
        <v>2500000</v>
      </c>
      <c r="C29" s="96">
        <v>3700000</v>
      </c>
      <c r="D29" s="108">
        <f t="shared" si="0"/>
        <v>5.1527907336611049E-2</v>
      </c>
      <c r="E29" s="108">
        <f t="shared" si="4"/>
        <v>1200000</v>
      </c>
      <c r="F29" s="96">
        <v>3802400.78</v>
      </c>
      <c r="G29" s="108">
        <f t="shared" si="1"/>
        <v>5.2436814920255689E-2</v>
      </c>
      <c r="H29" s="108">
        <f t="shared" si="16"/>
        <v>102.76758864864863</v>
      </c>
      <c r="I29" s="96">
        <v>2300000</v>
      </c>
      <c r="J29" s="96">
        <v>2900000</v>
      </c>
      <c r="K29" s="108">
        <f t="shared" si="2"/>
        <v>4.3077851528084403E-2</v>
      </c>
      <c r="L29" s="108">
        <f t="shared" si="6"/>
        <v>600000</v>
      </c>
      <c r="M29" s="96">
        <v>3024668.6</v>
      </c>
      <c r="N29" s="108">
        <f t="shared" si="3"/>
        <v>4.4073955630800056E-2</v>
      </c>
      <c r="O29" s="108">
        <f t="shared" si="7"/>
        <v>104.29891724137931</v>
      </c>
      <c r="P29" s="108">
        <f t="shared" si="8"/>
        <v>124668.60000000009</v>
      </c>
      <c r="Q29" s="108">
        <f t="shared" si="9"/>
        <v>-777732.1799999997</v>
      </c>
    </row>
    <row r="30" spans="1:18" s="125" customFormat="1">
      <c r="A30" s="129" t="s">
        <v>26</v>
      </c>
      <c r="B30" s="96">
        <f>B31</f>
        <v>2613500</v>
      </c>
      <c r="C30" s="96">
        <f>C31</f>
        <v>10850000</v>
      </c>
      <c r="D30" s="108">
        <f t="shared" si="0"/>
        <v>0.15110210664925131</v>
      </c>
      <c r="E30" s="108">
        <f t="shared" si="4"/>
        <v>8236500</v>
      </c>
      <c r="F30" s="96">
        <f>F31</f>
        <v>12517209.74</v>
      </c>
      <c r="G30" s="108">
        <f t="shared" si="1"/>
        <v>0.17261794545876402</v>
      </c>
      <c r="H30" s="108">
        <f t="shared" si="16"/>
        <v>115.36598838709678</v>
      </c>
      <c r="I30" s="96">
        <f>I31</f>
        <v>7400000</v>
      </c>
      <c r="J30" s="96">
        <f>J31</f>
        <v>18891275</v>
      </c>
      <c r="K30" s="108">
        <f t="shared" si="2"/>
        <v>0.28061915159524575</v>
      </c>
      <c r="L30" s="108">
        <f t="shared" si="6"/>
        <v>11491275</v>
      </c>
      <c r="M30" s="96">
        <f>M31</f>
        <v>19914318.260000002</v>
      </c>
      <c r="N30" s="108">
        <f t="shared" si="3"/>
        <v>0.29018146960261082</v>
      </c>
      <c r="O30" s="108">
        <f t="shared" si="7"/>
        <v>105.41542728058324</v>
      </c>
      <c r="P30" s="108">
        <f t="shared" si="8"/>
        <v>1023043.2600000016</v>
      </c>
      <c r="Q30" s="108">
        <f t="shared" si="9"/>
        <v>7397108.5200000014</v>
      </c>
    </row>
    <row r="31" spans="1:18" s="125" customFormat="1" ht="18" customHeight="1">
      <c r="A31" s="129" t="s">
        <v>27</v>
      </c>
      <c r="B31" s="96">
        <v>2613500</v>
      </c>
      <c r="C31" s="96">
        <v>10850000</v>
      </c>
      <c r="D31" s="108">
        <f t="shared" si="0"/>
        <v>0.15110210664925131</v>
      </c>
      <c r="E31" s="108">
        <f t="shared" si="4"/>
        <v>8236500</v>
      </c>
      <c r="F31" s="96">
        <v>12517209.74</v>
      </c>
      <c r="G31" s="108">
        <f t="shared" si="1"/>
        <v>0.17261794545876402</v>
      </c>
      <c r="H31" s="108">
        <f t="shared" si="16"/>
        <v>115.36598838709678</v>
      </c>
      <c r="I31" s="96">
        <v>7400000</v>
      </c>
      <c r="J31" s="96">
        <v>18891275</v>
      </c>
      <c r="K31" s="108">
        <f t="shared" si="2"/>
        <v>0.28061915159524575</v>
      </c>
      <c r="L31" s="108">
        <f t="shared" si="6"/>
        <v>11491275</v>
      </c>
      <c r="M31" s="96">
        <v>19914318.260000002</v>
      </c>
      <c r="N31" s="108">
        <f t="shared" si="3"/>
        <v>0.29018146960261082</v>
      </c>
      <c r="O31" s="108">
        <f t="shared" si="7"/>
        <v>105.41542728058324</v>
      </c>
      <c r="P31" s="108">
        <f t="shared" si="8"/>
        <v>1023043.2600000016</v>
      </c>
      <c r="Q31" s="108">
        <f t="shared" si="9"/>
        <v>7397108.5200000014</v>
      </c>
    </row>
    <row r="32" spans="1:18" s="125" customFormat="1" ht="30">
      <c r="A32" s="129" t="s">
        <v>167</v>
      </c>
      <c r="B32" s="96">
        <f>B33+B34</f>
        <v>534500</v>
      </c>
      <c r="C32" s="96">
        <f>C33+C34</f>
        <v>3999420</v>
      </c>
      <c r="D32" s="108">
        <f t="shared" si="0"/>
        <v>5.5697768421672685E-2</v>
      </c>
      <c r="E32" s="108">
        <f t="shared" si="4"/>
        <v>3464920</v>
      </c>
      <c r="F32" s="96">
        <f>F33+F34</f>
        <v>3984575.3899999997</v>
      </c>
      <c r="G32" s="108">
        <f t="shared" si="1"/>
        <v>5.4949084631009254E-2</v>
      </c>
      <c r="H32" s="108">
        <f t="shared" si="16"/>
        <v>99.628830930484909</v>
      </c>
      <c r="I32" s="96">
        <f>I33+I34</f>
        <v>534500</v>
      </c>
      <c r="J32" s="96">
        <f>J33+J34</f>
        <v>4708532</v>
      </c>
      <c r="K32" s="108">
        <f t="shared" si="2"/>
        <v>6.9942566348701482E-2</v>
      </c>
      <c r="L32" s="108">
        <f t="shared" si="6"/>
        <v>4174032</v>
      </c>
      <c r="M32" s="96">
        <f>M33+M34</f>
        <v>5037182.03</v>
      </c>
      <c r="N32" s="108">
        <f t="shared" si="3"/>
        <v>7.339929316371499E-2</v>
      </c>
      <c r="O32" s="108">
        <f t="shared" si="7"/>
        <v>106.9798831143125</v>
      </c>
      <c r="P32" s="108">
        <f t="shared" si="8"/>
        <v>328650.03000000026</v>
      </c>
      <c r="Q32" s="108">
        <f t="shared" si="9"/>
        <v>1052606.6400000006</v>
      </c>
    </row>
    <row r="33" spans="1:17" s="125" customFormat="1" ht="30">
      <c r="A33" s="129" t="s">
        <v>160</v>
      </c>
      <c r="B33" s="96">
        <v>434500</v>
      </c>
      <c r="C33" s="96">
        <v>465820</v>
      </c>
      <c r="D33" s="108">
        <f t="shared" si="0"/>
        <v>6.4872242690649073E-3</v>
      </c>
      <c r="E33" s="108">
        <f t="shared" si="4"/>
        <v>31320</v>
      </c>
      <c r="F33" s="96">
        <v>485319.26</v>
      </c>
      <c r="G33" s="108">
        <f t="shared" si="1"/>
        <v>6.6927706168457722E-3</v>
      </c>
      <c r="H33" s="108">
        <f t="shared" si="16"/>
        <v>104.18600747069684</v>
      </c>
      <c r="I33" s="96">
        <v>434500</v>
      </c>
      <c r="J33" s="96">
        <v>305663</v>
      </c>
      <c r="K33" s="108">
        <f t="shared" si="2"/>
        <v>4.5404501143547805E-3</v>
      </c>
      <c r="L33" s="108">
        <f t="shared" si="6"/>
        <v>-128837</v>
      </c>
      <c r="M33" s="96">
        <f>236500+87962.65</f>
        <v>324462.65000000002</v>
      </c>
      <c r="N33" s="108">
        <f t="shared" si="3"/>
        <v>4.7279071961641708E-3</v>
      </c>
      <c r="O33" s="108">
        <f t="shared" si="7"/>
        <v>106.15045000539811</v>
      </c>
      <c r="P33" s="108">
        <f t="shared" si="8"/>
        <v>18799.650000000023</v>
      </c>
      <c r="Q33" s="108">
        <f t="shared" si="9"/>
        <v>-160856.60999999999</v>
      </c>
    </row>
    <row r="34" spans="1:17" s="125" customFormat="1" ht="30">
      <c r="A34" s="133" t="s">
        <v>161</v>
      </c>
      <c r="B34" s="96">
        <v>100000</v>
      </c>
      <c r="C34" s="96">
        <v>3533600</v>
      </c>
      <c r="D34" s="108">
        <f t="shared" si="0"/>
        <v>4.9210544152607782E-2</v>
      </c>
      <c r="E34" s="108">
        <f t="shared" si="4"/>
        <v>3433600</v>
      </c>
      <c r="F34" s="96">
        <v>3499256.13</v>
      </c>
      <c r="G34" s="108">
        <f t="shared" si="1"/>
        <v>4.8256314014163484E-2</v>
      </c>
      <c r="H34" s="108">
        <f t="shared" si="16"/>
        <v>99.028077031922109</v>
      </c>
      <c r="I34" s="96">
        <v>100000</v>
      </c>
      <c r="J34" s="96">
        <v>4402869</v>
      </c>
      <c r="K34" s="108">
        <f t="shared" si="2"/>
        <v>6.5402116234346691E-2</v>
      </c>
      <c r="L34" s="108">
        <f t="shared" si="6"/>
        <v>4302869</v>
      </c>
      <c r="M34" s="96">
        <f>138990.8+886766.18+120794.99+51220.48+209013.6+19269.81+78608.95+81332.79+277209.43+2827721.78+21790.57</f>
        <v>4712719.38</v>
      </c>
      <c r="N34" s="108">
        <f t="shared" si="3"/>
        <v>6.8671385967550805E-2</v>
      </c>
      <c r="O34" s="108">
        <f t="shared" si="7"/>
        <v>107.03746534362027</v>
      </c>
      <c r="P34" s="108">
        <f t="shared" si="8"/>
        <v>309850.37999999989</v>
      </c>
      <c r="Q34" s="108">
        <f t="shared" si="9"/>
        <v>1213463.25</v>
      </c>
    </row>
    <row r="35" spans="1:17" s="80" customFormat="1" ht="28.5">
      <c r="A35" s="87" t="s">
        <v>28</v>
      </c>
      <c r="B35" s="95">
        <f>B36+B37+B38</f>
        <v>35300000</v>
      </c>
      <c r="C35" s="95">
        <f>C36+C37+C38</f>
        <v>22134450</v>
      </c>
      <c r="D35" s="107">
        <f t="shared" si="0"/>
        <v>0.30825456447212174</v>
      </c>
      <c r="E35" s="107">
        <f t="shared" si="4"/>
        <v>-13165550</v>
      </c>
      <c r="F35" s="95">
        <f>F36+F37+F38</f>
        <v>24740237.529999997</v>
      </c>
      <c r="G35" s="95">
        <f>G36+G37+G38</f>
        <v>0.34117898967077676</v>
      </c>
      <c r="H35" s="107">
        <f t="shared" si="16"/>
        <v>111.77254248467885</v>
      </c>
      <c r="I35" s="95">
        <f>I36+I37+I38</f>
        <v>22000000</v>
      </c>
      <c r="J35" s="95">
        <f>J36+J37+J38</f>
        <v>30908349</v>
      </c>
      <c r="K35" s="107">
        <f t="shared" si="2"/>
        <v>0.45912595489662616</v>
      </c>
      <c r="L35" s="107">
        <f t="shared" si="6"/>
        <v>8908349</v>
      </c>
      <c r="M35" s="95">
        <f>M36+M37+M38</f>
        <v>33538585.449999999</v>
      </c>
      <c r="N35" s="107">
        <f t="shared" si="3"/>
        <v>0.48870746601564752</v>
      </c>
      <c r="O35" s="107">
        <f t="shared" si="7"/>
        <v>108.50979277476127</v>
      </c>
      <c r="P35" s="81">
        <f t="shared" si="8"/>
        <v>2630236.4499999993</v>
      </c>
      <c r="Q35" s="81">
        <f t="shared" si="9"/>
        <v>8798347.9200000018</v>
      </c>
    </row>
    <row r="36" spans="1:17" s="125" customFormat="1" ht="30">
      <c r="A36" s="133" t="s">
        <v>29</v>
      </c>
      <c r="B36" s="96">
        <v>300000</v>
      </c>
      <c r="C36" s="96">
        <v>4300000</v>
      </c>
      <c r="D36" s="108">
        <f t="shared" si="0"/>
        <v>5.9883784202007427E-2</v>
      </c>
      <c r="E36" s="108">
        <f t="shared" si="4"/>
        <v>4000000</v>
      </c>
      <c r="F36" s="96">
        <v>5027273.87</v>
      </c>
      <c r="G36" s="108">
        <f t="shared" ref="G36:G45" si="17">F36/F$71*100</f>
        <v>6.9328365084815574E-2</v>
      </c>
      <c r="H36" s="108">
        <f t="shared" si="16"/>
        <v>116.9133458139535</v>
      </c>
      <c r="I36" s="96">
        <v>2000000</v>
      </c>
      <c r="J36" s="96">
        <v>11622000</v>
      </c>
      <c r="K36" s="108">
        <f t="shared" si="2"/>
        <v>0.17263820360668858</v>
      </c>
      <c r="L36" s="108">
        <f t="shared" si="6"/>
        <v>9622000</v>
      </c>
      <c r="M36" s="96">
        <v>13924140.560000001</v>
      </c>
      <c r="N36" s="108">
        <f t="shared" si="3"/>
        <v>0.20289560093904616</v>
      </c>
      <c r="O36" s="108">
        <f t="shared" si="7"/>
        <v>119.80847151953193</v>
      </c>
      <c r="P36" s="108">
        <f t="shared" si="8"/>
        <v>2302140.5600000005</v>
      </c>
      <c r="Q36" s="108">
        <f t="shared" si="9"/>
        <v>8896866.6900000013</v>
      </c>
    </row>
    <row r="37" spans="1:17" s="125" customFormat="1" ht="90">
      <c r="A37" s="134" t="s">
        <v>194</v>
      </c>
      <c r="B37" s="96">
        <v>10000000</v>
      </c>
      <c r="C37" s="96">
        <v>11100000</v>
      </c>
      <c r="D37" s="108">
        <f t="shared" si="0"/>
        <v>0.15458372200983311</v>
      </c>
      <c r="E37" s="108">
        <f t="shared" si="4"/>
        <v>1100000</v>
      </c>
      <c r="F37" s="96">
        <v>13110473.76</v>
      </c>
      <c r="G37" s="108">
        <f t="shared" si="17"/>
        <v>0.18079932280836231</v>
      </c>
      <c r="H37" s="108">
        <f t="shared" si="16"/>
        <v>118.11237621621622</v>
      </c>
      <c r="I37" s="96">
        <v>10000000</v>
      </c>
      <c r="J37" s="96">
        <v>10890900</v>
      </c>
      <c r="K37" s="108">
        <f t="shared" si="2"/>
        <v>0.16177812869214289</v>
      </c>
      <c r="L37" s="108">
        <f t="shared" si="6"/>
        <v>890900</v>
      </c>
      <c r="M37" s="96">
        <v>11218996.189999999</v>
      </c>
      <c r="N37" s="108">
        <f t="shared" si="3"/>
        <v>0.16347759232207285</v>
      </c>
      <c r="O37" s="108">
        <f t="shared" si="7"/>
        <v>103.01257187192978</v>
      </c>
      <c r="P37" s="108">
        <f t="shared" si="8"/>
        <v>328096.18999999948</v>
      </c>
      <c r="Q37" s="108">
        <f t="shared" si="9"/>
        <v>-1891477.5700000003</v>
      </c>
    </row>
    <row r="38" spans="1:17" s="125" customFormat="1" ht="30">
      <c r="A38" s="132" t="s">
        <v>195</v>
      </c>
      <c r="B38" s="96">
        <v>25000000</v>
      </c>
      <c r="C38" s="96">
        <f>6000000+734450</f>
        <v>6734450</v>
      </c>
      <c r="D38" s="108">
        <f t="shared" si="0"/>
        <v>9.378705826028115E-2</v>
      </c>
      <c r="E38" s="108">
        <f t="shared" si="4"/>
        <v>-18265550</v>
      </c>
      <c r="F38" s="96">
        <f>5868040.3+734449.6</f>
        <v>6602489.8999999994</v>
      </c>
      <c r="G38" s="108">
        <f t="shared" si="17"/>
        <v>9.1051301777598903E-2</v>
      </c>
      <c r="H38" s="108">
        <f t="shared" si="16"/>
        <v>98.040521497672401</v>
      </c>
      <c r="I38" s="96">
        <v>10000000</v>
      </c>
      <c r="J38" s="96">
        <v>8395449</v>
      </c>
      <c r="K38" s="108">
        <f t="shared" si="2"/>
        <v>0.12470962259779471</v>
      </c>
      <c r="L38" s="108">
        <f t="shared" si="6"/>
        <v>-1604551</v>
      </c>
      <c r="M38" s="96">
        <f>2081927.71+6313520.99</f>
        <v>8395448.6999999993</v>
      </c>
      <c r="N38" s="108">
        <f t="shared" si="3"/>
        <v>0.12233427275452854</v>
      </c>
      <c r="O38" s="108">
        <f t="shared" si="7"/>
        <v>99.99999642663542</v>
      </c>
      <c r="P38" s="108">
        <f t="shared" si="8"/>
        <v>-0.30000000074505806</v>
      </c>
      <c r="Q38" s="108">
        <f t="shared" si="9"/>
        <v>1792958.7999999998</v>
      </c>
    </row>
    <row r="39" spans="1:17" s="118" customFormat="1" ht="14.25">
      <c r="A39" s="135" t="s">
        <v>30</v>
      </c>
      <c r="B39" s="95">
        <f>SUM(B40:B58)</f>
        <v>15782000</v>
      </c>
      <c r="C39" s="95">
        <f>SUM(C40:C58)</f>
        <v>25962772</v>
      </c>
      <c r="D39" s="107">
        <f t="shared" si="0"/>
        <v>0.36156954319393508</v>
      </c>
      <c r="E39" s="107">
        <f t="shared" si="4"/>
        <v>10180772</v>
      </c>
      <c r="F39" s="95">
        <f>SUM(F40:F58)</f>
        <v>31231467.299999997</v>
      </c>
      <c r="G39" s="107">
        <f t="shared" si="17"/>
        <v>0.43069596427394946</v>
      </c>
      <c r="H39" s="107">
        <f t="shared" si="16"/>
        <v>120.29326953223638</v>
      </c>
      <c r="I39" s="95">
        <f>SUM(I40:I58)</f>
        <v>14620000</v>
      </c>
      <c r="J39" s="95">
        <f>SUM(J40:J58)</f>
        <v>44783080</v>
      </c>
      <c r="K39" s="107">
        <f t="shared" si="2"/>
        <v>0.66522719696907795</v>
      </c>
      <c r="L39" s="107">
        <f t="shared" si="6"/>
        <v>30163080</v>
      </c>
      <c r="M39" s="95">
        <f>SUM(M40:M58)</f>
        <v>48666571.700000003</v>
      </c>
      <c r="N39" s="107">
        <f t="shared" si="3"/>
        <v>0.70914490328261082</v>
      </c>
      <c r="O39" s="107">
        <f t="shared" si="7"/>
        <v>108.67178340569698</v>
      </c>
      <c r="P39" s="107">
        <f t="shared" si="8"/>
        <v>3883491.700000003</v>
      </c>
      <c r="Q39" s="107">
        <f t="shared" si="9"/>
        <v>17435104.400000006</v>
      </c>
    </row>
    <row r="40" spans="1:17" s="125" customFormat="1" ht="75">
      <c r="A40" s="131" t="s">
        <v>171</v>
      </c>
      <c r="B40" s="96">
        <v>1780000</v>
      </c>
      <c r="C40" s="96">
        <v>650000</v>
      </c>
      <c r="D40" s="108">
        <f t="shared" si="0"/>
        <v>9.0521999375127518E-3</v>
      </c>
      <c r="E40" s="108">
        <f t="shared" si="4"/>
        <v>-1130000</v>
      </c>
      <c r="F40" s="96">
        <v>690591.03</v>
      </c>
      <c r="G40" s="108">
        <f t="shared" si="17"/>
        <v>9.5235605400067116E-3</v>
      </c>
      <c r="H40" s="108">
        <f t="shared" si="16"/>
        <v>106.24477384615385</v>
      </c>
      <c r="I40" s="96">
        <v>560000</v>
      </c>
      <c r="J40" s="96">
        <v>560000</v>
      </c>
      <c r="K40" s="108">
        <f t="shared" si="2"/>
        <v>8.3184816743887124E-3</v>
      </c>
      <c r="L40" s="108">
        <f t="shared" si="6"/>
        <v>0</v>
      </c>
      <c r="M40" s="96">
        <v>998699.18</v>
      </c>
      <c r="N40" s="108">
        <f t="shared" si="3"/>
        <v>1.4552544152386283E-2</v>
      </c>
      <c r="O40" s="108">
        <f t="shared" si="7"/>
        <v>178.33913928571431</v>
      </c>
      <c r="P40" s="108">
        <f t="shared" si="8"/>
        <v>438699.18000000005</v>
      </c>
      <c r="Q40" s="108">
        <f t="shared" si="9"/>
        <v>308108.15000000002</v>
      </c>
    </row>
    <row r="41" spans="1:17" s="125" customFormat="1" ht="60">
      <c r="A41" s="131" t="s">
        <v>32</v>
      </c>
      <c r="B41" s="96">
        <v>100000</v>
      </c>
      <c r="C41" s="96">
        <v>65000</v>
      </c>
      <c r="D41" s="108">
        <f t="shared" si="0"/>
        <v>9.0521999375127514E-4</v>
      </c>
      <c r="E41" s="108">
        <f t="shared" si="4"/>
        <v>-35000</v>
      </c>
      <c r="F41" s="96">
        <v>70793.759999999995</v>
      </c>
      <c r="G41" s="108">
        <f t="shared" si="17"/>
        <v>9.7627775329590569E-4</v>
      </c>
      <c r="H41" s="108">
        <f t="shared" si="16"/>
        <v>108.91347692307691</v>
      </c>
      <c r="I41" s="96">
        <v>80000</v>
      </c>
      <c r="J41" s="96">
        <v>80000</v>
      </c>
      <c r="K41" s="108">
        <f t="shared" si="2"/>
        <v>1.188354524912673E-3</v>
      </c>
      <c r="L41" s="108">
        <f t="shared" si="6"/>
        <v>0</v>
      </c>
      <c r="M41" s="96">
        <v>92159.13</v>
      </c>
      <c r="N41" s="108">
        <f t="shared" si="3"/>
        <v>1.3428966752235716E-3</v>
      </c>
      <c r="O41" s="108">
        <f t="shared" si="7"/>
        <v>115.19891250000001</v>
      </c>
      <c r="P41" s="108">
        <f t="shared" si="8"/>
        <v>12159.130000000005</v>
      </c>
      <c r="Q41" s="108">
        <f t="shared" si="9"/>
        <v>21365.37000000001</v>
      </c>
    </row>
    <row r="42" spans="1:17" s="125" customFormat="1" ht="62.25" customHeight="1">
      <c r="A42" s="131" t="s">
        <v>115</v>
      </c>
      <c r="B42" s="96">
        <v>1425000</v>
      </c>
      <c r="C42" s="96">
        <v>1225000</v>
      </c>
      <c r="D42" s="108">
        <f t="shared" si="0"/>
        <v>1.7059915266850953E-2</v>
      </c>
      <c r="E42" s="108">
        <f t="shared" ref="E42:E71" si="18">C42-B42</f>
        <v>-200000</v>
      </c>
      <c r="F42" s="96">
        <v>1273648.24</v>
      </c>
      <c r="G42" s="108">
        <f t="shared" si="17"/>
        <v>1.7564181394468734E-2</v>
      </c>
      <c r="H42" s="108">
        <f t="shared" si="16"/>
        <v>103.97128489795919</v>
      </c>
      <c r="I42" s="96">
        <v>1425000</v>
      </c>
      <c r="J42" s="96">
        <v>1425000</v>
      </c>
      <c r="K42" s="108">
        <f t="shared" si="2"/>
        <v>2.1167564975006988E-2</v>
      </c>
      <c r="L42" s="108">
        <f t="shared" ref="L42:L70" si="19">J42-I42</f>
        <v>0</v>
      </c>
      <c r="M42" s="96">
        <v>478128.85</v>
      </c>
      <c r="N42" s="108">
        <f t="shared" si="3"/>
        <v>6.967054083447507E-3</v>
      </c>
      <c r="O42" s="108">
        <f t="shared" si="7"/>
        <v>33.552901754385964</v>
      </c>
      <c r="P42" s="108">
        <f t="shared" ref="P42:P71" si="20">M42-J42</f>
        <v>-946871.15</v>
      </c>
      <c r="Q42" s="108">
        <f t="shared" ref="Q42:Q70" si="21">M42-F42</f>
        <v>-795519.39</v>
      </c>
    </row>
    <row r="43" spans="1:17" s="125" customFormat="1" ht="60">
      <c r="A43" s="131" t="s">
        <v>172</v>
      </c>
      <c r="B43" s="96">
        <v>1300000</v>
      </c>
      <c r="C43" s="96">
        <v>1420000</v>
      </c>
      <c r="D43" s="108">
        <f t="shared" si="0"/>
        <v>1.977557524810478E-2</v>
      </c>
      <c r="E43" s="108">
        <f t="shared" si="18"/>
        <v>120000</v>
      </c>
      <c r="F43" s="96">
        <f>620101.96+967095.77</f>
        <v>1587197.73</v>
      </c>
      <c r="G43" s="108">
        <f t="shared" si="17"/>
        <v>2.1888169718358819E-2</v>
      </c>
      <c r="H43" s="108">
        <f t="shared" si="16"/>
        <v>111.774488028169</v>
      </c>
      <c r="I43" s="96">
        <v>1300000</v>
      </c>
      <c r="J43" s="96">
        <v>1520000</v>
      </c>
      <c r="K43" s="108">
        <f t="shared" si="2"/>
        <v>2.2578735973340789E-2</v>
      </c>
      <c r="L43" s="108">
        <f t="shared" si="19"/>
        <v>220000</v>
      </c>
      <c r="M43" s="96">
        <f>1105104.56+408649.87</f>
        <v>1513754.4300000002</v>
      </c>
      <c r="N43" s="108">
        <f t="shared" si="3"/>
        <v>2.2057671238345594E-2</v>
      </c>
      <c r="O43" s="108">
        <f t="shared" si="7"/>
        <v>99.589107236842111</v>
      </c>
      <c r="P43" s="108">
        <f t="shared" si="20"/>
        <v>-6245.5699999998324</v>
      </c>
      <c r="Q43" s="108">
        <f t="shared" si="21"/>
        <v>-73443.299999999814</v>
      </c>
    </row>
    <row r="44" spans="1:17" s="125" customFormat="1" ht="60">
      <c r="A44" s="131" t="s">
        <v>176</v>
      </c>
      <c r="B44" s="96">
        <v>10000</v>
      </c>
      <c r="C44" s="96">
        <v>10000</v>
      </c>
      <c r="D44" s="108">
        <f t="shared" si="0"/>
        <v>1.3926461442327308E-4</v>
      </c>
      <c r="E44" s="108">
        <f t="shared" si="18"/>
        <v>0</v>
      </c>
      <c r="F44" s="96">
        <v>15500</v>
      </c>
      <c r="G44" s="108">
        <f t="shared" si="17"/>
        <v>2.1375196311209551E-4</v>
      </c>
      <c r="H44" s="108">
        <f t="shared" si="16"/>
        <v>155</v>
      </c>
      <c r="I44" s="96">
        <v>10000</v>
      </c>
      <c r="J44" s="96">
        <v>10000</v>
      </c>
      <c r="K44" s="108">
        <f t="shared" si="2"/>
        <v>1.4854431561408412E-4</v>
      </c>
      <c r="L44" s="108">
        <f t="shared" si="19"/>
        <v>0</v>
      </c>
      <c r="M44" s="96"/>
      <c r="N44" s="108">
        <f t="shared" si="3"/>
        <v>0</v>
      </c>
      <c r="O44" s="108">
        <f t="shared" si="7"/>
        <v>0</v>
      </c>
      <c r="P44" s="108">
        <f t="shared" si="20"/>
        <v>-10000</v>
      </c>
      <c r="Q44" s="108">
        <f t="shared" si="21"/>
        <v>-15500</v>
      </c>
    </row>
    <row r="45" spans="1:17" s="125" customFormat="1" ht="60">
      <c r="A45" s="131" t="s">
        <v>34</v>
      </c>
      <c r="B45" s="96"/>
      <c r="C45" s="96">
        <v>116638</v>
      </c>
      <c r="D45" s="108">
        <f t="shared" si="0"/>
        <v>1.6243546097101727E-3</v>
      </c>
      <c r="E45" s="108">
        <f t="shared" si="18"/>
        <v>116638</v>
      </c>
      <c r="F45" s="96"/>
      <c r="G45" s="108">
        <f t="shared" si="17"/>
        <v>0</v>
      </c>
      <c r="H45" s="108">
        <f t="shared" ref="H45" si="22">F45/C45*100</f>
        <v>0</v>
      </c>
      <c r="I45" s="96"/>
      <c r="J45" s="96"/>
      <c r="K45" s="108"/>
      <c r="L45" s="108"/>
      <c r="M45" s="96"/>
      <c r="N45" s="108"/>
      <c r="O45" s="108"/>
      <c r="P45" s="108">
        <f t="shared" ref="P45" si="23">M45-J45</f>
        <v>0</v>
      </c>
      <c r="Q45" s="108">
        <f>M45-F45</f>
        <v>0</v>
      </c>
    </row>
    <row r="46" spans="1:17" s="125" customFormat="1" ht="30">
      <c r="A46" s="131" t="s">
        <v>199</v>
      </c>
      <c r="B46" s="96"/>
      <c r="C46" s="96"/>
      <c r="D46" s="108"/>
      <c r="E46" s="108"/>
      <c r="F46" s="96"/>
      <c r="G46" s="108"/>
      <c r="H46" s="108"/>
      <c r="I46" s="96"/>
      <c r="J46" s="96">
        <v>339550</v>
      </c>
      <c r="K46" s="108">
        <f t="shared" ref="K46:K52" si="24">J46/J$71*100</f>
        <v>5.0438222366762271E-3</v>
      </c>
      <c r="L46" s="108">
        <f t="shared" si="19"/>
        <v>339550</v>
      </c>
      <c r="M46" s="96">
        <v>339542.94</v>
      </c>
      <c r="N46" s="108">
        <f t="shared" ref="N46:N71" si="25">M46/M$71*100</f>
        <v>4.9476496275695806E-3</v>
      </c>
      <c r="O46" s="108">
        <f t="shared" si="7"/>
        <v>99.99792077749963</v>
      </c>
      <c r="P46" s="108">
        <f t="shared" si="20"/>
        <v>-7.0599999999976717</v>
      </c>
      <c r="Q46" s="108">
        <f t="shared" si="21"/>
        <v>339542.94</v>
      </c>
    </row>
    <row r="47" spans="1:17" s="125" customFormat="1" ht="45">
      <c r="A47" s="131" t="s">
        <v>136</v>
      </c>
      <c r="B47" s="96">
        <v>160000</v>
      </c>
      <c r="C47" s="96">
        <v>95000</v>
      </c>
      <c r="D47" s="108">
        <f t="shared" ref="D47:D52" si="26">C47/C$71*100</f>
        <v>1.3230138370210944E-3</v>
      </c>
      <c r="E47" s="108">
        <f t="shared" si="18"/>
        <v>-65000</v>
      </c>
      <c r="F47" s="96">
        <v>101487.01</v>
      </c>
      <c r="G47" s="108">
        <f t="shared" ref="G47:G52" si="27">F47/F$71*100</f>
        <v>1.3995514592178623E-3</v>
      </c>
      <c r="H47" s="108">
        <f t="shared" si="16"/>
        <v>106.82843157894737</v>
      </c>
      <c r="I47" s="96">
        <v>165000</v>
      </c>
      <c r="J47" s="96">
        <v>61277</v>
      </c>
      <c r="K47" s="108">
        <f t="shared" si="24"/>
        <v>9.1023500278842337E-4</v>
      </c>
      <c r="L47" s="108">
        <f t="shared" si="19"/>
        <v>-103723</v>
      </c>
      <c r="M47" s="96">
        <v>63286.8</v>
      </c>
      <c r="N47" s="108">
        <f t="shared" si="25"/>
        <v>9.2218354606363065E-4</v>
      </c>
      <c r="O47" s="108">
        <f t="shared" si="7"/>
        <v>103.27986030647716</v>
      </c>
      <c r="P47" s="108">
        <f t="shared" si="20"/>
        <v>2009.8000000000029</v>
      </c>
      <c r="Q47" s="108">
        <f t="shared" si="21"/>
        <v>-38200.209999999992</v>
      </c>
    </row>
    <row r="48" spans="1:17" s="125" customFormat="1" ht="30">
      <c r="A48" s="131" t="s">
        <v>35</v>
      </c>
      <c r="B48" s="96">
        <v>1680000</v>
      </c>
      <c r="C48" s="96">
        <v>3465000</v>
      </c>
      <c r="D48" s="108">
        <f t="shared" si="26"/>
        <v>4.8255188897664128E-2</v>
      </c>
      <c r="E48" s="108">
        <f t="shared" si="18"/>
        <v>1785000</v>
      </c>
      <c r="F48" s="96">
        <v>3492825.23</v>
      </c>
      <c r="G48" s="108">
        <f t="shared" si="27"/>
        <v>4.8167629014190742E-2</v>
      </c>
      <c r="H48" s="108">
        <f t="shared" si="16"/>
        <v>100.80303694083695</v>
      </c>
      <c r="I48" s="96">
        <v>1480000</v>
      </c>
      <c r="J48" s="96">
        <v>3355820</v>
      </c>
      <c r="K48" s="108">
        <f t="shared" si="24"/>
        <v>4.9848798522405584E-2</v>
      </c>
      <c r="L48" s="108">
        <f t="shared" si="19"/>
        <v>1875820</v>
      </c>
      <c r="M48" s="96">
        <f>580000+20000+3644819.84</f>
        <v>4244819.84</v>
      </c>
      <c r="N48" s="108">
        <f t="shared" si="25"/>
        <v>6.1853388265048208E-2</v>
      </c>
      <c r="O48" s="108">
        <f t="shared" si="7"/>
        <v>126.49128499144769</v>
      </c>
      <c r="P48" s="108">
        <f t="shared" si="20"/>
        <v>888999.83999999985</v>
      </c>
      <c r="Q48" s="108">
        <f t="shared" si="21"/>
        <v>751994.60999999987</v>
      </c>
    </row>
    <row r="49" spans="1:17" s="125" customFormat="1" ht="30">
      <c r="A49" s="131" t="s">
        <v>36</v>
      </c>
      <c r="B49" s="96">
        <v>150000</v>
      </c>
      <c r="C49" s="96">
        <v>690900</v>
      </c>
      <c r="D49" s="108">
        <f t="shared" si="26"/>
        <v>9.6217922105039377E-3</v>
      </c>
      <c r="E49" s="108">
        <f t="shared" si="18"/>
        <v>540900</v>
      </c>
      <c r="F49" s="96">
        <v>910900</v>
      </c>
      <c r="G49" s="108">
        <f t="shared" si="27"/>
        <v>1.2561720206374695E-2</v>
      </c>
      <c r="H49" s="108">
        <f t="shared" si="16"/>
        <v>131.84252424374006</v>
      </c>
      <c r="I49" s="96">
        <v>150000</v>
      </c>
      <c r="J49" s="96">
        <v>255000</v>
      </c>
      <c r="K49" s="108">
        <f t="shared" si="24"/>
        <v>3.7878800481591459E-3</v>
      </c>
      <c r="L49" s="108">
        <f t="shared" si="19"/>
        <v>105000</v>
      </c>
      <c r="M49" s="96">
        <v>260000</v>
      </c>
      <c r="N49" s="108">
        <f t="shared" si="25"/>
        <v>3.7885897529428558E-3</v>
      </c>
      <c r="O49" s="108">
        <f t="shared" si="7"/>
        <v>101.96078431372548</v>
      </c>
      <c r="P49" s="108">
        <f t="shared" si="20"/>
        <v>5000</v>
      </c>
      <c r="Q49" s="108">
        <f t="shared" si="21"/>
        <v>-650900</v>
      </c>
    </row>
    <row r="50" spans="1:17" s="125" customFormat="1" ht="60">
      <c r="A50" s="131" t="s">
        <v>37</v>
      </c>
      <c r="B50" s="96">
        <v>350000</v>
      </c>
      <c r="C50" s="96">
        <v>954210</v>
      </c>
      <c r="D50" s="108">
        <f t="shared" si="26"/>
        <v>1.3288768772883142E-2</v>
      </c>
      <c r="E50" s="108">
        <f t="shared" si="18"/>
        <v>604210</v>
      </c>
      <c r="F50" s="96">
        <f>1143448.2+107870</f>
        <v>1251318.2</v>
      </c>
      <c r="G50" s="108">
        <f t="shared" si="27"/>
        <v>1.7256240111477014E-2</v>
      </c>
      <c r="H50" s="108">
        <f t="shared" si="16"/>
        <v>131.13656323031617</v>
      </c>
      <c r="I50" s="96">
        <v>500000</v>
      </c>
      <c r="J50" s="96">
        <v>1625000</v>
      </c>
      <c r="K50" s="108">
        <f t="shared" si="24"/>
        <v>2.413845128728867E-2</v>
      </c>
      <c r="L50" s="108">
        <f t="shared" si="19"/>
        <v>1125000</v>
      </c>
      <c r="M50" s="96">
        <f>1523099.24+42030</f>
        <v>1565129.24</v>
      </c>
      <c r="N50" s="108">
        <f t="shared" si="25"/>
        <v>2.2806279233443232E-2</v>
      </c>
      <c r="O50" s="108">
        <f t="shared" si="7"/>
        <v>96.315645538461538</v>
      </c>
      <c r="P50" s="108">
        <f t="shared" si="20"/>
        <v>-59870.760000000009</v>
      </c>
      <c r="Q50" s="108">
        <f t="shared" si="21"/>
        <v>313811.04000000004</v>
      </c>
    </row>
    <row r="51" spans="1:17" s="125" customFormat="1" ht="60">
      <c r="A51" s="136" t="s">
        <v>162</v>
      </c>
      <c r="B51" s="96">
        <v>800000</v>
      </c>
      <c r="C51" s="96">
        <v>1800000</v>
      </c>
      <c r="D51" s="108">
        <f t="shared" si="26"/>
        <v>2.5067630596189158E-2</v>
      </c>
      <c r="E51" s="108">
        <f t="shared" si="18"/>
        <v>1000000</v>
      </c>
      <c r="F51" s="96">
        <v>2381500</v>
      </c>
      <c r="G51" s="108">
        <f t="shared" si="27"/>
        <v>3.2841954848480993E-2</v>
      </c>
      <c r="H51" s="108">
        <f t="shared" si="16"/>
        <v>132.30555555555557</v>
      </c>
      <c r="I51" s="96">
        <v>800000</v>
      </c>
      <c r="J51" s="96">
        <v>4000000</v>
      </c>
      <c r="K51" s="108">
        <f t="shared" si="24"/>
        <v>5.9417726245633656E-2</v>
      </c>
      <c r="L51" s="108">
        <f t="shared" si="19"/>
        <v>3200000</v>
      </c>
      <c r="M51" s="96">
        <f>2959761.5</f>
        <v>2959761.5</v>
      </c>
      <c r="N51" s="108">
        <f t="shared" si="25"/>
        <v>4.3128161884826065E-2</v>
      </c>
      <c r="O51" s="108">
        <f t="shared" si="7"/>
        <v>73.994037500000005</v>
      </c>
      <c r="P51" s="108">
        <f t="shared" si="20"/>
        <v>-1040238.5</v>
      </c>
      <c r="Q51" s="108">
        <f t="shared" si="21"/>
        <v>578261.5</v>
      </c>
    </row>
    <row r="52" spans="1:17" s="125" customFormat="1" ht="75">
      <c r="A52" s="131" t="s">
        <v>180</v>
      </c>
      <c r="B52" s="96"/>
      <c r="C52" s="96">
        <v>3000000</v>
      </c>
      <c r="D52" s="108">
        <f t="shared" si="26"/>
        <v>4.177938432698193E-2</v>
      </c>
      <c r="E52" s="108">
        <f t="shared" si="18"/>
        <v>3000000</v>
      </c>
      <c r="F52" s="96">
        <v>3074841.31</v>
      </c>
      <c r="G52" s="108">
        <f t="shared" si="27"/>
        <v>4.2403442985204348E-2</v>
      </c>
      <c r="H52" s="108">
        <f t="shared" si="16"/>
        <v>102.49471033333333</v>
      </c>
      <c r="I52" s="96">
        <v>1320000</v>
      </c>
      <c r="J52" s="96">
        <v>9500000</v>
      </c>
      <c r="K52" s="108">
        <f t="shared" si="24"/>
        <v>0.14111709983337994</v>
      </c>
      <c r="L52" s="108">
        <f t="shared" si="19"/>
        <v>8180000</v>
      </c>
      <c r="M52" s="96">
        <v>11880459.189999999</v>
      </c>
      <c r="N52" s="108">
        <f t="shared" si="25"/>
        <v>0.17311609979803763</v>
      </c>
      <c r="O52" s="108">
        <f t="shared" si="7"/>
        <v>125.05746515789473</v>
      </c>
      <c r="P52" s="108">
        <f t="shared" ref="P52:P53" si="28">M52-J52</f>
        <v>2380459.1899999995</v>
      </c>
      <c r="Q52" s="108">
        <f t="shared" ref="Q52:Q53" si="29">M52-F52</f>
        <v>8805617.879999999</v>
      </c>
    </row>
    <row r="53" spans="1:17" s="125" customFormat="1" ht="90">
      <c r="A53" s="131" t="s">
        <v>181</v>
      </c>
      <c r="B53" s="96"/>
      <c r="C53" s="96"/>
      <c r="D53" s="108"/>
      <c r="E53" s="108"/>
      <c r="F53" s="96">
        <v>20000</v>
      </c>
      <c r="G53" s="108"/>
      <c r="H53" s="108"/>
      <c r="I53" s="96"/>
      <c r="J53" s="96"/>
      <c r="K53" s="108"/>
      <c r="L53" s="108"/>
      <c r="M53" s="96"/>
      <c r="N53" s="108">
        <f t="shared" si="25"/>
        <v>0</v>
      </c>
      <c r="O53" s="108"/>
      <c r="P53" s="108">
        <f t="shared" si="28"/>
        <v>0</v>
      </c>
      <c r="Q53" s="108">
        <f t="shared" si="29"/>
        <v>-20000</v>
      </c>
    </row>
    <row r="54" spans="1:17" s="125" customFormat="1" ht="75">
      <c r="A54" s="136" t="s">
        <v>163</v>
      </c>
      <c r="B54" s="96">
        <v>1040000</v>
      </c>
      <c r="C54" s="96">
        <v>700000</v>
      </c>
      <c r="D54" s="108">
        <f>C54/C$71*100</f>
        <v>9.7485230096291155E-3</v>
      </c>
      <c r="E54" s="108">
        <f t="shared" si="18"/>
        <v>-340000</v>
      </c>
      <c r="F54" s="96">
        <f>101000+1478191.13</f>
        <v>1579191.13</v>
      </c>
      <c r="G54" s="108">
        <f>F54/F$71*100</f>
        <v>2.1777755107529571E-2</v>
      </c>
      <c r="H54" s="108">
        <f t="shared" ref="H54:H57" si="30">F54/C54*100</f>
        <v>225.59873285714283</v>
      </c>
      <c r="I54" s="96">
        <v>600000</v>
      </c>
      <c r="J54" s="96">
        <v>1202199</v>
      </c>
      <c r="K54" s="108">
        <f t="shared" ref="K54:K71" si="31">J54/J$71*100</f>
        <v>1.7857982768693634E-2</v>
      </c>
      <c r="L54" s="108">
        <f t="shared" si="19"/>
        <v>602199</v>
      </c>
      <c r="M54" s="96">
        <f>3577.88+1726091.43+124199.46</f>
        <v>1853868.7699999998</v>
      </c>
      <c r="N54" s="108">
        <f t="shared" si="25"/>
        <v>2.7013647020472212E-2</v>
      </c>
      <c r="O54" s="108">
        <f t="shared" si="7"/>
        <v>154.20648079061786</v>
      </c>
      <c r="P54" s="108">
        <f t="shared" si="20"/>
        <v>651669.76999999979</v>
      </c>
      <c r="Q54" s="108">
        <f t="shared" si="21"/>
        <v>274677.6399999999</v>
      </c>
    </row>
    <row r="55" spans="1:17" s="125" customFormat="1" ht="75">
      <c r="A55" s="131" t="s">
        <v>179</v>
      </c>
      <c r="B55" s="96"/>
      <c r="C55" s="96">
        <v>230462</v>
      </c>
      <c r="D55" s="108"/>
      <c r="E55" s="108"/>
      <c r="F55" s="96">
        <f>19461.54+76000+115000</f>
        <v>210461.54</v>
      </c>
      <c r="G55" s="108"/>
      <c r="H55" s="108"/>
      <c r="I55" s="96"/>
      <c r="J55" s="96">
        <v>411180</v>
      </c>
      <c r="K55" s="108">
        <f t="shared" si="31"/>
        <v>6.1078451694199119E-3</v>
      </c>
      <c r="L55" s="108">
        <f t="shared" si="19"/>
        <v>411180</v>
      </c>
      <c r="M55" s="96">
        <f>1188.13+450000+40000</f>
        <v>491188.13</v>
      </c>
      <c r="N55" s="108">
        <f t="shared" si="25"/>
        <v>7.1573473695583211E-3</v>
      </c>
      <c r="O55" s="108">
        <f t="shared" si="7"/>
        <v>119.45817646772703</v>
      </c>
      <c r="P55" s="108">
        <f t="shared" si="20"/>
        <v>80008.13</v>
      </c>
      <c r="Q55" s="108"/>
    </row>
    <row r="56" spans="1:17" s="125" customFormat="1" ht="45">
      <c r="A56" s="131" t="s">
        <v>38</v>
      </c>
      <c r="B56" s="96">
        <v>6947000</v>
      </c>
      <c r="C56" s="96">
        <v>11500562</v>
      </c>
      <c r="D56" s="108">
        <f t="shared" ref="D56:D71" si="32">C56/C$71*100</f>
        <v>0.16016213325809464</v>
      </c>
      <c r="E56" s="108">
        <f t="shared" si="18"/>
        <v>4553562</v>
      </c>
      <c r="F56" s="96">
        <v>13809142.119999999</v>
      </c>
      <c r="G56" s="108">
        <f t="shared" ref="G56:G71" si="33">F56/F$71*100</f>
        <v>0.19043427335767249</v>
      </c>
      <c r="H56" s="108">
        <f t="shared" si="30"/>
        <v>120.07362874962111</v>
      </c>
      <c r="I56" s="96">
        <v>6230000</v>
      </c>
      <c r="J56" s="96">
        <v>14938054</v>
      </c>
      <c r="K56" s="108">
        <f t="shared" si="31"/>
        <v>0.22189630080362319</v>
      </c>
      <c r="L56" s="108">
        <f t="shared" si="19"/>
        <v>8708054</v>
      </c>
      <c r="M56" s="96">
        <f>80000+1243027.33+175239.41+100300+61277.33+249600+5134738.85+4264.76+4982239.93+301740.33+4461020.76+63500+181000</f>
        <v>17037948.699999999</v>
      </c>
      <c r="N56" s="108">
        <f t="shared" si="25"/>
        <v>0.24826845329225405</v>
      </c>
      <c r="O56" s="108">
        <f t="shared" si="7"/>
        <v>114.05735111146338</v>
      </c>
      <c r="P56" s="108">
        <f t="shared" si="20"/>
        <v>2099894.6999999993</v>
      </c>
      <c r="Q56" s="108">
        <f t="shared" si="21"/>
        <v>3228806.58</v>
      </c>
    </row>
    <row r="57" spans="1:17" s="125" customFormat="1" ht="30">
      <c r="A57" s="131" t="s">
        <v>174</v>
      </c>
      <c r="B57" s="96">
        <v>40000</v>
      </c>
      <c r="C57" s="96">
        <v>40000</v>
      </c>
      <c r="D57" s="108">
        <f t="shared" si="32"/>
        <v>5.5705845769309233E-4</v>
      </c>
      <c r="E57" s="108">
        <f t="shared" si="18"/>
        <v>0</v>
      </c>
      <c r="F57" s="96">
        <v>750000</v>
      </c>
      <c r="G57" s="108">
        <f t="shared" si="33"/>
        <v>1.0342836924778814E-2</v>
      </c>
      <c r="H57" s="108">
        <f t="shared" si="30"/>
        <v>1875</v>
      </c>
      <c r="I57" s="96"/>
      <c r="J57" s="96"/>
      <c r="K57" s="108">
        <f t="shared" si="31"/>
        <v>0</v>
      </c>
      <c r="L57" s="108">
        <f t="shared" si="19"/>
        <v>0</v>
      </c>
      <c r="M57" s="96"/>
      <c r="N57" s="108">
        <f t="shared" si="25"/>
        <v>0</v>
      </c>
      <c r="O57" s="108"/>
      <c r="P57" s="108">
        <f t="shared" si="20"/>
        <v>0</v>
      </c>
      <c r="Q57" s="108">
        <f t="shared" si="21"/>
        <v>-750000</v>
      </c>
    </row>
    <row r="58" spans="1:17" s="125" customFormat="1" ht="30">
      <c r="A58" s="131" t="s">
        <v>173</v>
      </c>
      <c r="B58" s="96"/>
      <c r="C58" s="96"/>
      <c r="D58" s="108">
        <f t="shared" si="32"/>
        <v>0</v>
      </c>
      <c r="E58" s="108">
        <f t="shared" si="18"/>
        <v>0</v>
      </c>
      <c r="F58" s="96">
        <v>12070</v>
      </c>
      <c r="G58" s="108">
        <f t="shared" si="33"/>
        <v>1.6645072224277371E-4</v>
      </c>
      <c r="H58" s="108"/>
      <c r="I58" s="96"/>
      <c r="J58" s="96">
        <v>5500000</v>
      </c>
      <c r="K58" s="108">
        <f t="shared" si="31"/>
        <v>8.1699373587746288E-2</v>
      </c>
      <c r="L58" s="108">
        <f t="shared" si="19"/>
        <v>5500000</v>
      </c>
      <c r="M58" s="96">
        <f>4887825</f>
        <v>4887825</v>
      </c>
      <c r="N58" s="108">
        <f t="shared" si="25"/>
        <v>7.1222937342991982E-2</v>
      </c>
      <c r="O58" s="108">
        <f t="shared" si="7"/>
        <v>88.869545454545445</v>
      </c>
      <c r="P58" s="108">
        <f t="shared" si="20"/>
        <v>-612175</v>
      </c>
      <c r="Q58" s="108">
        <f t="shared" si="21"/>
        <v>4875755</v>
      </c>
    </row>
    <row r="59" spans="1:17" s="118" customFormat="1" ht="17.25" customHeight="1">
      <c r="A59" s="121" t="s">
        <v>39</v>
      </c>
      <c r="B59" s="95"/>
      <c r="C59" s="95">
        <f>C61</f>
        <v>591000</v>
      </c>
      <c r="D59" s="107">
        <f t="shared" si="32"/>
        <v>8.2305387124154399E-3</v>
      </c>
      <c r="E59" s="107">
        <f t="shared" si="18"/>
        <v>591000</v>
      </c>
      <c r="F59" s="95">
        <f>F60+F61</f>
        <v>545822.04</v>
      </c>
      <c r="G59" s="107">
        <f t="shared" si="33"/>
        <v>7.5271311328934656E-3</v>
      </c>
      <c r="H59" s="107">
        <f t="shared" ref="H59" si="34">F59/C59*100</f>
        <v>92.355675126903563</v>
      </c>
      <c r="I59" s="95"/>
      <c r="J59" s="95">
        <f>J61</f>
        <v>4970</v>
      </c>
      <c r="K59" s="107">
        <f t="shared" si="31"/>
        <v>7.3826524860199825E-5</v>
      </c>
      <c r="L59" s="107">
        <f t="shared" si="19"/>
        <v>4970</v>
      </c>
      <c r="M59" s="95">
        <f>M60+M61</f>
        <v>1018928.54</v>
      </c>
      <c r="N59" s="107">
        <f t="shared" si="25"/>
        <v>1.4847316252403943E-2</v>
      </c>
      <c r="O59" s="107">
        <f t="shared" si="7"/>
        <v>20501.580281690141</v>
      </c>
      <c r="P59" s="107">
        <f t="shared" si="20"/>
        <v>1013958.54</v>
      </c>
      <c r="Q59" s="107">
        <f t="shared" si="21"/>
        <v>473106.5</v>
      </c>
    </row>
    <row r="60" spans="1:17" s="125" customFormat="1" ht="30">
      <c r="A60" s="131" t="s">
        <v>58</v>
      </c>
      <c r="B60" s="96"/>
      <c r="C60" s="96"/>
      <c r="D60" s="108">
        <f t="shared" si="32"/>
        <v>0</v>
      </c>
      <c r="E60" s="108">
        <f t="shared" si="18"/>
        <v>0</v>
      </c>
      <c r="F60" s="96"/>
      <c r="G60" s="108">
        <f t="shared" si="33"/>
        <v>0</v>
      </c>
      <c r="H60" s="108"/>
      <c r="I60" s="96"/>
      <c r="J60" s="96"/>
      <c r="K60" s="108">
        <f t="shared" si="31"/>
        <v>0</v>
      </c>
      <c r="L60" s="108">
        <f t="shared" si="19"/>
        <v>0</v>
      </c>
      <c r="M60" s="96">
        <v>1013958.54</v>
      </c>
      <c r="N60" s="108">
        <f t="shared" si="25"/>
        <v>1.4774895902126535E-2</v>
      </c>
      <c r="O60" s="108"/>
      <c r="P60" s="108">
        <f t="shared" si="20"/>
        <v>1013958.54</v>
      </c>
      <c r="Q60" s="108">
        <f t="shared" si="21"/>
        <v>1013958.54</v>
      </c>
    </row>
    <row r="61" spans="1:17" s="125" customFormat="1" ht="19.5" customHeight="1">
      <c r="A61" s="131" t="s">
        <v>59</v>
      </c>
      <c r="B61" s="96"/>
      <c r="C61" s="96">
        <v>591000</v>
      </c>
      <c r="D61" s="108">
        <f t="shared" si="32"/>
        <v>8.2305387124154399E-3</v>
      </c>
      <c r="E61" s="108">
        <f t="shared" si="18"/>
        <v>591000</v>
      </c>
      <c r="F61" s="96">
        <v>545822.04</v>
      </c>
      <c r="G61" s="108">
        <f t="shared" si="33"/>
        <v>7.5271311328934656E-3</v>
      </c>
      <c r="H61" s="108">
        <f t="shared" ref="H61:H71" si="35">F61/C61*100</f>
        <v>92.355675126903563</v>
      </c>
      <c r="I61" s="96"/>
      <c r="J61" s="96">
        <v>4970</v>
      </c>
      <c r="K61" s="108">
        <f t="shared" si="31"/>
        <v>7.3826524860199825E-5</v>
      </c>
      <c r="L61" s="108">
        <f t="shared" si="19"/>
        <v>4970</v>
      </c>
      <c r="M61" s="96">
        <v>4970</v>
      </c>
      <c r="N61" s="108">
        <f t="shared" si="25"/>
        <v>7.2420350277407666E-5</v>
      </c>
      <c r="O61" s="108">
        <f t="shared" si="7"/>
        <v>100</v>
      </c>
      <c r="P61" s="108">
        <f t="shared" si="20"/>
        <v>0</v>
      </c>
      <c r="Q61" s="108">
        <f t="shared" si="21"/>
        <v>-540852.04</v>
      </c>
    </row>
    <row r="62" spans="1:17" s="80" customFormat="1">
      <c r="A62" s="86" t="s">
        <v>40</v>
      </c>
      <c r="B62" s="95">
        <f>SUM(B63:B70)</f>
        <v>4006357200</v>
      </c>
      <c r="C62" s="95">
        <f>SUM(C63:C70)</f>
        <v>4991998493.4400005</v>
      </c>
      <c r="D62" s="107">
        <f t="shared" si="32"/>
        <v>69.520874539048179</v>
      </c>
      <c r="E62" s="107">
        <f t="shared" si="18"/>
        <v>985641293.44000053</v>
      </c>
      <c r="F62" s="95">
        <f>SUM(F63:F70)</f>
        <v>4929621368.79</v>
      </c>
      <c r="G62" s="107">
        <f t="shared" si="33"/>
        <v>67.981693224399848</v>
      </c>
      <c r="H62" s="107">
        <f t="shared" si="35"/>
        <v>98.750457863078879</v>
      </c>
      <c r="I62" s="95">
        <f>SUM(I63:I70)</f>
        <v>3800786800</v>
      </c>
      <c r="J62" s="95">
        <f>J63+J64+J65+J66+J67+J70+J68</f>
        <v>4300470490.1700001</v>
      </c>
      <c r="K62" s="107">
        <f t="shared" si="31"/>
        <v>63.881044578086765</v>
      </c>
      <c r="L62" s="107">
        <f t="shared" si="19"/>
        <v>499683690.17000008</v>
      </c>
      <c r="M62" s="95">
        <f>SUM(M63:M70)</f>
        <v>4278685917.79</v>
      </c>
      <c r="N62" s="108">
        <f t="shared" si="25"/>
        <v>62.346867785384973</v>
      </c>
      <c r="O62" s="108">
        <f t="shared" si="7"/>
        <v>99.493437463882259</v>
      </c>
      <c r="P62" s="81">
        <f t="shared" si="20"/>
        <v>-21784572.380000114</v>
      </c>
      <c r="Q62" s="81">
        <f t="shared" si="21"/>
        <v>-650935451</v>
      </c>
    </row>
    <row r="63" spans="1:17" ht="30">
      <c r="A63" s="84" t="s">
        <v>196</v>
      </c>
      <c r="B63" s="96">
        <v>835465200</v>
      </c>
      <c r="C63" s="96">
        <v>882395700</v>
      </c>
      <c r="D63" s="108">
        <f t="shared" si="32"/>
        <v>12.288649692925416</v>
      </c>
      <c r="E63" s="108">
        <f t="shared" si="18"/>
        <v>46930500</v>
      </c>
      <c r="F63" s="96">
        <v>882395700</v>
      </c>
      <c r="G63" s="108">
        <f t="shared" si="33"/>
        <v>12.168633104301399</v>
      </c>
      <c r="H63" s="108">
        <f t="shared" si="35"/>
        <v>100</v>
      </c>
      <c r="I63" s="96">
        <v>741637600</v>
      </c>
      <c r="J63" s="96">
        <v>820362400</v>
      </c>
      <c r="K63" s="108">
        <f t="shared" si="31"/>
        <v>12.186017126352754</v>
      </c>
      <c r="L63" s="108">
        <f t="shared" si="19"/>
        <v>78724800</v>
      </c>
      <c r="M63" s="96">
        <f>691325300+82265200+46771900</f>
        <v>820362400</v>
      </c>
      <c r="N63" s="108">
        <f t="shared" si="25"/>
        <v>11.953909932075417</v>
      </c>
      <c r="O63" s="108">
        <f t="shared" si="7"/>
        <v>100</v>
      </c>
      <c r="P63" s="82">
        <f t="shared" si="20"/>
        <v>0</v>
      </c>
      <c r="Q63" s="82">
        <f t="shared" si="21"/>
        <v>-62033300</v>
      </c>
    </row>
    <row r="64" spans="1:17" ht="30">
      <c r="A64" s="88" t="s">
        <v>197</v>
      </c>
      <c r="B64" s="96">
        <v>539023800</v>
      </c>
      <c r="C64" s="96">
        <v>1085282808.4400001</v>
      </c>
      <c r="D64" s="108">
        <f t="shared" si="32"/>
        <v>15.114149185760356</v>
      </c>
      <c r="E64" s="108">
        <f t="shared" si="18"/>
        <v>546259008.44000006</v>
      </c>
      <c r="F64" s="96">
        <v>1069248299.13</v>
      </c>
      <c r="G64" s="108">
        <f t="shared" si="33"/>
        <v>14.745414386664942</v>
      </c>
      <c r="H64" s="108">
        <f t="shared" si="35"/>
        <v>98.522550142202263</v>
      </c>
      <c r="I64" s="96">
        <v>408135600</v>
      </c>
      <c r="J64" s="96">
        <v>457837435.31999999</v>
      </c>
      <c r="K64" s="108">
        <f t="shared" si="31"/>
        <v>6.8009148492116909</v>
      </c>
      <c r="L64" s="108">
        <f t="shared" si="19"/>
        <v>49701835.319999993</v>
      </c>
      <c r="M64" s="96">
        <f>1268012.02+104365397.34+387687.85+29660853.3+1777777.78+301125436.93</f>
        <v>438585165.22000003</v>
      </c>
      <c r="N64" s="108">
        <f t="shared" si="25"/>
        <v>6.3908433182509299</v>
      </c>
      <c r="O64" s="108">
        <f t="shared" si="7"/>
        <v>95.794955017921637</v>
      </c>
      <c r="P64" s="82">
        <f t="shared" si="20"/>
        <v>-19252270.099999964</v>
      </c>
      <c r="Q64" s="82">
        <f t="shared" si="21"/>
        <v>-630663133.90999997</v>
      </c>
    </row>
    <row r="65" spans="1:17" ht="30">
      <c r="A65" s="88" t="s">
        <v>198</v>
      </c>
      <c r="B65" s="96">
        <v>2629923800</v>
      </c>
      <c r="C65" s="96">
        <v>2599256530</v>
      </c>
      <c r="D65" s="108">
        <f t="shared" si="32"/>
        <v>36.198445843762478</v>
      </c>
      <c r="E65" s="108">
        <f t="shared" si="18"/>
        <v>-30667270</v>
      </c>
      <c r="F65" s="96">
        <v>2597666957.98</v>
      </c>
      <c r="G65" s="108">
        <f t="shared" si="33"/>
        <v>35.822994308364535</v>
      </c>
      <c r="H65" s="108">
        <f t="shared" si="35"/>
        <v>99.938845127379565</v>
      </c>
      <c r="I65" s="96">
        <v>2648689900</v>
      </c>
      <c r="J65" s="96">
        <v>2717872842.8499999</v>
      </c>
      <c r="K65" s="108">
        <f t="shared" si="31"/>
        <v>40.372456136725852</v>
      </c>
      <c r="L65" s="108">
        <f t="shared" si="19"/>
        <v>69182942.849999905</v>
      </c>
      <c r="M65" s="96">
        <f>2572923241.68+66711019.8+51733834.85+16690+9361098+15223300.13</f>
        <v>2715969184.46</v>
      </c>
      <c r="N65" s="108">
        <f t="shared" si="25"/>
        <v>39.575742390591238</v>
      </c>
      <c r="O65" s="108">
        <f t="shared" si="7"/>
        <v>99.929957783160901</v>
      </c>
      <c r="P65" s="82">
        <f t="shared" si="20"/>
        <v>-1903658.3899998665</v>
      </c>
      <c r="Q65" s="82">
        <f t="shared" si="21"/>
        <v>118302226.48000002</v>
      </c>
    </row>
    <row r="66" spans="1:17">
      <c r="A66" s="89" t="s">
        <v>143</v>
      </c>
      <c r="B66" s="96">
        <v>1944400</v>
      </c>
      <c r="C66" s="96">
        <v>94278091</v>
      </c>
      <c r="D66" s="108">
        <f t="shared" si="32"/>
        <v>1.3129601991677253</v>
      </c>
      <c r="E66" s="108">
        <f t="shared" si="18"/>
        <v>92333691</v>
      </c>
      <c r="F66" s="96">
        <v>94277423</v>
      </c>
      <c r="G66" s="108">
        <f t="shared" si="33"/>
        <v>1.3001280157031887</v>
      </c>
      <c r="H66" s="108">
        <f t="shared" si="35"/>
        <v>99.999291457863734</v>
      </c>
      <c r="I66" s="96">
        <v>2323700</v>
      </c>
      <c r="J66" s="96">
        <v>35849412</v>
      </c>
      <c r="K66" s="108">
        <f t="shared" si="31"/>
        <v>0.53252263707073355</v>
      </c>
      <c r="L66" s="108">
        <f t="shared" si="19"/>
        <v>33525712</v>
      </c>
      <c r="M66" s="96">
        <f>35705617.37</f>
        <v>35705617.369999997</v>
      </c>
      <c r="N66" s="108">
        <f t="shared" si="25"/>
        <v>0.52028436957877089</v>
      </c>
      <c r="O66" s="108">
        <f t="shared" si="7"/>
        <v>99.598892640135901</v>
      </c>
      <c r="P66" s="82">
        <f t="shared" si="20"/>
        <v>-143794.63000000268</v>
      </c>
      <c r="Q66" s="82">
        <f t="shared" si="21"/>
        <v>-58571805.630000003</v>
      </c>
    </row>
    <row r="67" spans="1:17" ht="30">
      <c r="A67" s="88" t="s">
        <v>164</v>
      </c>
      <c r="B67" s="96"/>
      <c r="C67" s="96">
        <v>341930463</v>
      </c>
      <c r="D67" s="108">
        <f t="shared" si="32"/>
        <v>4.7618814089266248</v>
      </c>
      <c r="E67" s="108">
        <f t="shared" si="18"/>
        <v>341930463</v>
      </c>
      <c r="F67" s="96">
        <v>341930462.44999999</v>
      </c>
      <c r="G67" s="108">
        <f t="shared" si="33"/>
        <v>4.7153746836460746</v>
      </c>
      <c r="H67" s="108">
        <f t="shared" si="35"/>
        <v>99.999999839148586</v>
      </c>
      <c r="I67" s="96"/>
      <c r="J67" s="96">
        <v>290526350</v>
      </c>
      <c r="K67" s="108">
        <f t="shared" si="31"/>
        <v>4.3156037828607872</v>
      </c>
      <c r="L67" s="108">
        <f t="shared" si="19"/>
        <v>290526350</v>
      </c>
      <c r="M67" s="96">
        <v>290041500</v>
      </c>
      <c r="N67" s="108">
        <f t="shared" si="25"/>
        <v>4.2263394416468287</v>
      </c>
      <c r="O67" s="108">
        <f t="shared" si="7"/>
        <v>99.833113244289208</v>
      </c>
      <c r="P67" s="82">
        <f t="shared" si="20"/>
        <v>-484850</v>
      </c>
      <c r="Q67" s="82">
        <f t="shared" si="21"/>
        <v>-51888962.449999988</v>
      </c>
    </row>
    <row r="68" spans="1:17" ht="45">
      <c r="A68" s="88" t="s">
        <v>168</v>
      </c>
      <c r="B68" s="96"/>
      <c r="C68" s="96">
        <v>16187</v>
      </c>
      <c r="D68" s="108">
        <f t="shared" si="32"/>
        <v>2.2542763136695215E-4</v>
      </c>
      <c r="E68" s="108">
        <f t="shared" si="18"/>
        <v>16187</v>
      </c>
      <c r="F68" s="96">
        <v>16186.16</v>
      </c>
      <c r="G68" s="108">
        <f t="shared" si="33"/>
        <v>2.2321441775783712E-4</v>
      </c>
      <c r="H68" s="108">
        <f t="shared" si="35"/>
        <v>99.994810650522027</v>
      </c>
      <c r="I68" s="96"/>
      <c r="J68" s="96">
        <v>276505</v>
      </c>
      <c r="K68" s="108">
        <f t="shared" si="31"/>
        <v>4.1073245988872339E-3</v>
      </c>
      <c r="L68" s="108">
        <f t="shared" si="19"/>
        <v>276505</v>
      </c>
      <c r="M68" s="96">
        <f>150250.7+30766.2+95488</f>
        <v>276504.90000000002</v>
      </c>
      <c r="N68" s="108">
        <f t="shared" si="25"/>
        <v>4.0290908876095734E-3</v>
      </c>
      <c r="O68" s="108">
        <f t="shared" si="7"/>
        <v>99.999963834288721</v>
      </c>
      <c r="P68" s="82">
        <f t="shared" si="20"/>
        <v>-9.9999999976716936E-2</v>
      </c>
      <c r="Q68" s="82">
        <f t="shared" si="21"/>
        <v>260318.74000000002</v>
      </c>
    </row>
    <row r="69" spans="1:17" ht="45">
      <c r="A69" s="88" t="s">
        <v>175</v>
      </c>
      <c r="B69" s="96"/>
      <c r="C69" s="96">
        <v>4581</v>
      </c>
      <c r="D69" s="108">
        <f t="shared" si="32"/>
        <v>6.37971198673014E-5</v>
      </c>
      <c r="E69" s="108">
        <f t="shared" si="18"/>
        <v>4581</v>
      </c>
      <c r="F69" s="96">
        <v>4581.08</v>
      </c>
      <c r="G69" s="108">
        <f t="shared" si="33"/>
        <v>6.3175151172487645E-5</v>
      </c>
      <c r="H69" s="108">
        <f t="shared" si="35"/>
        <v>100.00174634359308</v>
      </c>
      <c r="I69" s="96"/>
      <c r="J69" s="96"/>
      <c r="K69" s="108">
        <f t="shared" si="31"/>
        <v>0</v>
      </c>
      <c r="L69" s="108">
        <f t="shared" si="19"/>
        <v>0</v>
      </c>
      <c r="M69" s="96"/>
      <c r="N69" s="108">
        <f t="shared" si="25"/>
        <v>0</v>
      </c>
      <c r="O69" s="108"/>
      <c r="P69" s="82">
        <f t="shared" si="20"/>
        <v>0</v>
      </c>
      <c r="Q69" s="82">
        <f t="shared" si="21"/>
        <v>-4581.08</v>
      </c>
    </row>
    <row r="70" spans="1:17" ht="45.75" customHeight="1">
      <c r="A70" s="88" t="s">
        <v>97</v>
      </c>
      <c r="B70" s="96"/>
      <c r="C70" s="96">
        <v>-11165867</v>
      </c>
      <c r="D70" s="108">
        <f t="shared" si="32"/>
        <v>-0.1555010162456549</v>
      </c>
      <c r="E70" s="108">
        <f t="shared" si="18"/>
        <v>-11165867</v>
      </c>
      <c r="F70" s="96">
        <v>-55918241.009999998</v>
      </c>
      <c r="G70" s="108">
        <f t="shared" si="33"/>
        <v>-0.7711376638492119</v>
      </c>
      <c r="H70" s="108">
        <f t="shared" si="35"/>
        <v>500.79623024347325</v>
      </c>
      <c r="I70" s="96"/>
      <c r="J70" s="96">
        <v>-22254455</v>
      </c>
      <c r="K70" s="108">
        <f t="shared" si="31"/>
        <v>-0.33057727873394332</v>
      </c>
      <c r="L70" s="108">
        <f t="shared" si="19"/>
        <v>-22254455</v>
      </c>
      <c r="M70" s="96">
        <v>-22254454.16</v>
      </c>
      <c r="N70" s="108">
        <f t="shared" si="25"/>
        <v>-0.32428075764581737</v>
      </c>
      <c r="O70" s="108">
        <f t="shared" si="7"/>
        <v>99.999996225474845</v>
      </c>
      <c r="P70" s="82">
        <f t="shared" si="20"/>
        <v>0.83999999985098839</v>
      </c>
      <c r="Q70" s="82">
        <f t="shared" si="21"/>
        <v>33663786.849999994</v>
      </c>
    </row>
    <row r="71" spans="1:17" s="80" customFormat="1" ht="14.25">
      <c r="A71" s="87" t="s">
        <v>48</v>
      </c>
      <c r="B71" s="95">
        <f>B9+B24+B62</f>
        <v>6009435000</v>
      </c>
      <c r="C71" s="95">
        <f>C9+C24+C62</f>
        <v>7180574937.4400005</v>
      </c>
      <c r="D71" s="107">
        <f t="shared" si="32"/>
        <v>100</v>
      </c>
      <c r="E71" s="107">
        <f t="shared" si="18"/>
        <v>1171139937.4400005</v>
      </c>
      <c r="F71" s="95">
        <f>F9+F24+F62</f>
        <v>7251395390.3999996</v>
      </c>
      <c r="G71" s="107">
        <f t="shared" si="33"/>
        <v>100</v>
      </c>
      <c r="H71" s="107">
        <f t="shared" si="35"/>
        <v>100.98627830747557</v>
      </c>
      <c r="I71" s="95">
        <f>I9+I24+I62</f>
        <v>5893179633</v>
      </c>
      <c r="J71" s="95">
        <f>J9+J24+J62</f>
        <v>6731997760.1700001</v>
      </c>
      <c r="K71" s="107">
        <f t="shared" si="31"/>
        <v>100</v>
      </c>
      <c r="L71" s="107">
        <f>J71-I71</f>
        <v>838818127.17000008</v>
      </c>
      <c r="M71" s="95">
        <f>M9+M24+M62</f>
        <v>6862711904.8199997</v>
      </c>
      <c r="N71" s="107">
        <f t="shared" si="25"/>
        <v>100</v>
      </c>
      <c r="O71" s="107">
        <f t="shared" si="7"/>
        <v>101.94168431581146</v>
      </c>
      <c r="P71" s="81">
        <f t="shared" si="20"/>
        <v>130714144.64999962</v>
      </c>
      <c r="Q71" s="81">
        <f>M71-F71</f>
        <v>-388683485.57999992</v>
      </c>
    </row>
    <row r="72" spans="1:17">
      <c r="M72" s="101"/>
    </row>
    <row r="73" spans="1:17">
      <c r="C73" s="139"/>
      <c r="E73" s="137"/>
      <c r="F73" s="137"/>
      <c r="J73" s="110"/>
      <c r="K73" s="110"/>
      <c r="M73" s="101"/>
    </row>
    <row r="74" spans="1:17">
      <c r="J74" s="111"/>
      <c r="K74" s="111"/>
    </row>
    <row r="75" spans="1:17">
      <c r="J75" s="111"/>
      <c r="K75" s="111"/>
      <c r="M75" s="101"/>
      <c r="P75" s="85"/>
    </row>
    <row r="76" spans="1:17">
      <c r="J76" s="111"/>
      <c r="K76" s="111"/>
    </row>
    <row r="77" spans="1:17">
      <c r="C77" s="140"/>
      <c r="K77" s="111"/>
    </row>
    <row r="78" spans="1:17">
      <c r="C78" s="141"/>
      <c r="D78" s="124"/>
      <c r="E78" s="124"/>
      <c r="F78" s="124"/>
      <c r="G78" s="124"/>
      <c r="H78" s="124"/>
      <c r="I78" s="142"/>
    </row>
    <row r="79" spans="1:17">
      <c r="C79" s="141"/>
      <c r="D79" s="124"/>
      <c r="E79" s="124"/>
      <c r="F79" s="124"/>
      <c r="G79" s="124"/>
      <c r="H79" s="124"/>
      <c r="I79" s="142"/>
      <c r="K79" s="111"/>
    </row>
    <row r="80" spans="1:17">
      <c r="C80" s="141"/>
      <c r="D80" s="124"/>
      <c r="E80" s="124"/>
      <c r="F80" s="124"/>
      <c r="G80" s="124"/>
      <c r="H80" s="124"/>
      <c r="I80" s="142"/>
    </row>
    <row r="81" spans="3:9">
      <c r="C81" s="141"/>
      <c r="D81" s="124"/>
      <c r="E81" s="124"/>
      <c r="F81" s="124"/>
      <c r="G81" s="124"/>
      <c r="H81" s="124"/>
      <c r="I81" s="142"/>
    </row>
  </sheetData>
  <mergeCells count="6">
    <mergeCell ref="P1:Q2"/>
    <mergeCell ref="A4:Q4"/>
    <mergeCell ref="B6:H6"/>
    <mergeCell ref="P6:Q6"/>
    <mergeCell ref="A6:A7"/>
    <mergeCell ref="I6:O6"/>
  </mergeCells>
  <pageMargins left="0.39370078740157483" right="0.39370078740157483" top="0.98425196850393704" bottom="0.39370078740157483" header="0.31496062992125984" footer="0.31496062992125984"/>
  <pageSetup paperSize="9" scale="50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F10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62" t="s">
        <v>151</v>
      </c>
      <c r="C1" s="62"/>
      <c r="D1" s="66"/>
      <c r="E1" s="66"/>
      <c r="F1" s="66"/>
    </row>
    <row r="2" spans="2:6">
      <c r="B2" s="62" t="s">
        <v>152</v>
      </c>
      <c r="C2" s="62"/>
      <c r="D2" s="66"/>
      <c r="E2" s="66"/>
      <c r="F2" s="66"/>
    </row>
    <row r="3" spans="2:6">
      <c r="B3" s="63"/>
      <c r="C3" s="63"/>
      <c r="D3" s="67"/>
      <c r="E3" s="67"/>
      <c r="F3" s="67"/>
    </row>
    <row r="4" spans="2:6" ht="51">
      <c r="B4" s="63" t="s">
        <v>153</v>
      </c>
      <c r="C4" s="63"/>
      <c r="D4" s="67"/>
      <c r="E4" s="67"/>
      <c r="F4" s="67"/>
    </row>
    <row r="5" spans="2:6">
      <c r="B5" s="63"/>
      <c r="C5" s="63"/>
      <c r="D5" s="67"/>
      <c r="E5" s="67"/>
      <c r="F5" s="67"/>
    </row>
    <row r="6" spans="2:6" ht="25.5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>
      <c r="B7" s="63"/>
      <c r="C7" s="63"/>
      <c r="D7" s="67"/>
      <c r="E7" s="67"/>
      <c r="F7" s="67"/>
    </row>
    <row r="8" spans="2:6" ht="39" thickBot="1">
      <c r="B8" s="64" t="s">
        <v>157</v>
      </c>
      <c r="C8" s="65"/>
      <c r="D8" s="68"/>
      <c r="E8" s="68">
        <v>1</v>
      </c>
      <c r="F8" s="69" t="s">
        <v>158</v>
      </c>
    </row>
    <row r="9" spans="2:6">
      <c r="B9" s="63"/>
      <c r="C9" s="63"/>
      <c r="D9" s="67"/>
      <c r="E9" s="67"/>
      <c r="F9" s="67"/>
    </row>
    <row r="10" spans="2:6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73"/>
  <sheetViews>
    <sheetView topLeftCell="C1" workbookViewId="0">
      <selection activeCell="E13" sqref="E13"/>
    </sheetView>
  </sheetViews>
  <sheetFormatPr defaultRowHeight="1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>
      <c r="A1" s="27"/>
      <c r="B1" s="28"/>
      <c r="C1" s="28"/>
      <c r="D1" s="56"/>
      <c r="E1" s="28"/>
      <c r="F1" s="28"/>
      <c r="S1" s="158" t="s">
        <v>73</v>
      </c>
      <c r="T1" s="158"/>
    </row>
    <row r="2" spans="1:20" s="29" customFormat="1" ht="12.75">
      <c r="A2" s="155" t="s">
        <v>150</v>
      </c>
      <c r="B2" s="156"/>
      <c r="C2" s="156"/>
      <c r="D2" s="156"/>
      <c r="E2" s="156"/>
      <c r="F2" s="156"/>
      <c r="G2" s="156"/>
      <c r="H2" s="156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</row>
    <row r="3" spans="1:20" s="29" customFormat="1">
      <c r="A3" s="30"/>
      <c r="B3" s="31"/>
      <c r="C3" s="43"/>
      <c r="D3" s="57"/>
      <c r="E3" s="43"/>
      <c r="F3" s="43"/>
      <c r="G3" s="61"/>
      <c r="H3" s="61"/>
    </row>
    <row r="4" spans="1:20" ht="21.75" customHeight="1">
      <c r="A4" s="159" t="s">
        <v>0</v>
      </c>
      <c r="B4" s="151" t="s">
        <v>107</v>
      </c>
      <c r="C4" s="151"/>
      <c r="D4" s="151"/>
      <c r="E4" s="151"/>
      <c r="F4" s="151"/>
      <c r="G4" s="151"/>
      <c r="H4" s="152"/>
      <c r="L4" s="151" t="s">
        <v>149</v>
      </c>
      <c r="M4" s="151"/>
      <c r="N4" s="151"/>
      <c r="O4" s="151"/>
      <c r="P4" s="151"/>
      <c r="Q4" s="151"/>
      <c r="R4" s="152"/>
      <c r="S4" s="153" t="s">
        <v>56</v>
      </c>
      <c r="T4" s="154"/>
    </row>
    <row r="5" spans="1:20" ht="120">
      <c r="A5" s="160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165</v>
      </c>
    </row>
    <row r="6" spans="1:20" s="23" customFormat="1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45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2018-04-26T10:39:46Z</cp:lastPrinted>
  <dcterms:created xsi:type="dcterms:W3CDTF">1996-10-08T23:32:33Z</dcterms:created>
  <dcterms:modified xsi:type="dcterms:W3CDTF">2018-04-26T10:39:47Z</dcterms:modified>
</cp:coreProperties>
</file>