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4915" windowHeight="1462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N216" i="1"/>
  <c r="L216"/>
  <c r="F216"/>
  <c r="C216"/>
  <c r="B216"/>
  <c r="N215"/>
  <c r="L215"/>
  <c r="F215"/>
  <c r="C215"/>
  <c r="B215"/>
  <c r="N214"/>
  <c r="L214"/>
  <c r="F214"/>
  <c r="C214"/>
  <c r="B214"/>
  <c r="N213"/>
  <c r="L213"/>
  <c r="F213"/>
  <c r="C213"/>
  <c r="B213"/>
  <c r="N212"/>
  <c r="L212"/>
  <c r="F212"/>
  <c r="C212"/>
  <c r="B212"/>
  <c r="N211"/>
  <c r="L211"/>
  <c r="F211"/>
  <c r="C211"/>
  <c r="B211"/>
  <c r="N210"/>
  <c r="L210"/>
  <c r="F210"/>
  <c r="C210"/>
  <c r="B210"/>
  <c r="N209"/>
  <c r="L209"/>
  <c r="F209"/>
  <c r="C209"/>
  <c r="B209"/>
  <c r="N208"/>
  <c r="L208"/>
  <c r="F208"/>
  <c r="C208"/>
  <c r="B208"/>
  <c r="N207"/>
  <c r="L207"/>
  <c r="F207"/>
  <c r="C207"/>
  <c r="B207"/>
  <c r="N206"/>
  <c r="L206"/>
  <c r="F206"/>
  <c r="C206"/>
  <c r="B206"/>
  <c r="N205"/>
  <c r="L205"/>
  <c r="F205"/>
  <c r="C205"/>
  <c r="B205"/>
  <c r="N204"/>
  <c r="L204"/>
  <c r="F204"/>
  <c r="C204"/>
  <c r="B204"/>
  <c r="N203"/>
  <c r="L203"/>
  <c r="F203"/>
  <c r="C203"/>
  <c r="B203"/>
  <c r="N202"/>
  <c r="L202"/>
  <c r="F202"/>
  <c r="C202"/>
  <c r="B202"/>
  <c r="N201"/>
  <c r="L201"/>
  <c r="F201"/>
  <c r="C201"/>
  <c r="B201"/>
  <c r="N200"/>
  <c r="L200"/>
  <c r="F200"/>
  <c r="C200"/>
  <c r="B200"/>
  <c r="N199"/>
  <c r="L199"/>
  <c r="F199"/>
  <c r="C199"/>
  <c r="B199"/>
  <c r="N198"/>
  <c r="L198"/>
  <c r="F198"/>
  <c r="C198"/>
  <c r="B198"/>
  <c r="N197"/>
  <c r="L197"/>
  <c r="F197"/>
  <c r="C197"/>
  <c r="B197"/>
  <c r="N196"/>
  <c r="L196"/>
  <c r="F196"/>
  <c r="C196"/>
  <c r="B196"/>
  <c r="N195"/>
  <c r="L195"/>
  <c r="F195"/>
  <c r="C195"/>
  <c r="B195"/>
  <c r="N194"/>
  <c r="L194"/>
  <c r="F194"/>
  <c r="C194"/>
  <c r="B194"/>
  <c r="N193"/>
  <c r="L193"/>
  <c r="F193"/>
  <c r="C193"/>
  <c r="B193"/>
  <c r="N192"/>
  <c r="L192"/>
  <c r="F192"/>
  <c r="C192"/>
  <c r="B192"/>
  <c r="N191"/>
  <c r="L191"/>
  <c r="F191"/>
  <c r="C191"/>
  <c r="B191"/>
  <c r="N190"/>
  <c r="L190"/>
  <c r="F190"/>
  <c r="C190"/>
  <c r="B190"/>
  <c r="N189"/>
  <c r="L189"/>
  <c r="F189"/>
  <c r="C189"/>
  <c r="B189"/>
  <c r="N188"/>
  <c r="L188"/>
  <c r="F188"/>
  <c r="C188"/>
  <c r="B188"/>
  <c r="N187"/>
  <c r="L187"/>
  <c r="F187"/>
  <c r="C187"/>
  <c r="B187"/>
  <c r="N186"/>
  <c r="L186"/>
  <c r="F186"/>
  <c r="C186"/>
  <c r="B186"/>
  <c r="N185"/>
  <c r="L185"/>
  <c r="F185"/>
  <c r="C185"/>
  <c r="B185"/>
  <c r="N184"/>
  <c r="L184"/>
  <c r="F184"/>
  <c r="C184"/>
  <c r="B184"/>
  <c r="N183"/>
  <c r="L183"/>
  <c r="F183"/>
  <c r="C183"/>
  <c r="B183"/>
  <c r="N182"/>
  <c r="L182"/>
  <c r="F182"/>
  <c r="C182"/>
  <c r="B182"/>
  <c r="N181"/>
  <c r="L181"/>
  <c r="F181"/>
  <c r="C181"/>
  <c r="B181"/>
  <c r="N180"/>
  <c r="L180"/>
  <c r="F180"/>
  <c r="C180"/>
  <c r="B180"/>
  <c r="N179"/>
  <c r="L179"/>
  <c r="F179"/>
  <c r="C179"/>
  <c r="B179"/>
  <c r="N178"/>
  <c r="L178"/>
  <c r="F178"/>
  <c r="C178"/>
  <c r="B178"/>
  <c r="N177"/>
  <c r="L177"/>
  <c r="F177"/>
  <c r="C177"/>
  <c r="B177"/>
  <c r="N176"/>
  <c r="L176"/>
  <c r="F176"/>
  <c r="C176"/>
  <c r="B176"/>
  <c r="N175"/>
  <c r="L175"/>
  <c r="F175"/>
  <c r="C175"/>
  <c r="B175"/>
  <c r="N174"/>
  <c r="L174"/>
  <c r="F174"/>
  <c r="C174"/>
  <c r="B174"/>
  <c r="N173"/>
  <c r="L173"/>
  <c r="F173"/>
  <c r="C173"/>
  <c r="B173"/>
  <c r="N172"/>
  <c r="L172"/>
  <c r="F172"/>
  <c r="C172"/>
  <c r="B172"/>
  <c r="N171"/>
  <c r="L171"/>
  <c r="F171"/>
  <c r="C171"/>
  <c r="B171"/>
  <c r="N170"/>
  <c r="L170"/>
  <c r="F170"/>
  <c r="C170"/>
  <c r="B170"/>
  <c r="N169"/>
  <c r="L169"/>
  <c r="F169"/>
  <c r="C169"/>
  <c r="B169"/>
  <c r="N168"/>
  <c r="L168"/>
  <c r="F168"/>
  <c r="C168"/>
  <c r="B168"/>
  <c r="N167"/>
  <c r="L167"/>
  <c r="F167"/>
  <c r="C167"/>
  <c r="B167"/>
  <c r="N166"/>
  <c r="L166"/>
  <c r="F166"/>
  <c r="C166"/>
  <c r="B166"/>
  <c r="N165"/>
  <c r="L165"/>
  <c r="F165"/>
  <c r="C165"/>
  <c r="B165"/>
  <c r="N164"/>
  <c r="L164"/>
  <c r="F164"/>
  <c r="C164"/>
  <c r="B164"/>
  <c r="N163"/>
  <c r="L163"/>
  <c r="F163"/>
  <c r="C163"/>
  <c r="B163"/>
  <c r="N162"/>
  <c r="L162"/>
  <c r="F162"/>
  <c r="C162"/>
  <c r="B162"/>
  <c r="N161"/>
  <c r="L161"/>
  <c r="F161"/>
  <c r="C161"/>
  <c r="B161"/>
  <c r="N160"/>
  <c r="L160"/>
  <c r="F160"/>
  <c r="C160"/>
  <c r="B160"/>
  <c r="N159"/>
  <c r="L159"/>
  <c r="F159"/>
  <c r="C159"/>
  <c r="B159"/>
  <c r="N158"/>
  <c r="L158"/>
  <c r="F158"/>
  <c r="C158"/>
  <c r="B158"/>
  <c r="N157"/>
  <c r="L157"/>
  <c r="F157"/>
  <c r="C157"/>
  <c r="B157"/>
  <c r="N156"/>
  <c r="L156"/>
  <c r="F156"/>
  <c r="C156"/>
  <c r="B156"/>
  <c r="N155"/>
  <c r="L155"/>
  <c r="F155"/>
  <c r="C155"/>
  <c r="B155"/>
  <c r="N154"/>
  <c r="L154"/>
  <c r="F154"/>
  <c r="C154"/>
  <c r="B154"/>
  <c r="N153"/>
  <c r="L153"/>
  <c r="F153"/>
  <c r="C153"/>
  <c r="B153"/>
  <c r="N152"/>
  <c r="L152"/>
  <c r="F152"/>
  <c r="C152"/>
  <c r="B152"/>
  <c r="N151"/>
  <c r="L151"/>
  <c r="F151"/>
  <c r="C151"/>
  <c r="B151"/>
  <c r="N150"/>
  <c r="L150"/>
  <c r="F150"/>
  <c r="C150"/>
  <c r="B150"/>
  <c r="N149"/>
  <c r="L149"/>
  <c r="F149"/>
  <c r="C149"/>
  <c r="B149"/>
  <c r="N148"/>
  <c r="L148"/>
  <c r="F148"/>
  <c r="C148"/>
  <c r="B148"/>
  <c r="N147"/>
  <c r="L147"/>
  <c r="F147"/>
  <c r="C147"/>
  <c r="B147"/>
  <c r="N146"/>
  <c r="L146"/>
  <c r="F146"/>
  <c r="C146"/>
  <c r="B146"/>
  <c r="N145"/>
  <c r="L145"/>
  <c r="F145"/>
  <c r="C145"/>
  <c r="B145"/>
  <c r="N144"/>
  <c r="L144"/>
  <c r="F144"/>
  <c r="C144"/>
  <c r="B144"/>
  <c r="N143"/>
  <c r="L143"/>
  <c r="F143"/>
  <c r="C143"/>
  <c r="B143"/>
  <c r="N142"/>
  <c r="L142"/>
  <c r="F142"/>
  <c r="C142"/>
  <c r="B142"/>
  <c r="N141"/>
  <c r="L141"/>
  <c r="F141"/>
  <c r="C141"/>
  <c r="B141"/>
  <c r="N140"/>
  <c r="L140"/>
  <c r="F140"/>
  <c r="C140"/>
  <c r="B140"/>
  <c r="N139"/>
  <c r="L139"/>
  <c r="F139"/>
  <c r="C139"/>
  <c r="B139"/>
  <c r="N138"/>
  <c r="L138"/>
  <c r="F138"/>
  <c r="C138"/>
  <c r="B138"/>
  <c r="N137"/>
  <c r="L137"/>
  <c r="F137"/>
  <c r="C137"/>
  <c r="B137"/>
  <c r="N136"/>
  <c r="L136"/>
  <c r="F136"/>
  <c r="C136"/>
  <c r="B136"/>
  <c r="N135"/>
  <c r="L135"/>
  <c r="F135"/>
  <c r="C135"/>
  <c r="B135"/>
  <c r="N134"/>
  <c r="L134"/>
  <c r="F134"/>
  <c r="C134"/>
  <c r="B134"/>
  <c r="N133"/>
  <c r="L133"/>
  <c r="F133"/>
  <c r="C133"/>
  <c r="B133"/>
  <c r="N132"/>
  <c r="L132"/>
  <c r="F132"/>
  <c r="C132"/>
  <c r="B132"/>
  <c r="N131"/>
  <c r="L131"/>
  <c r="F131"/>
  <c r="C131"/>
  <c r="B131"/>
  <c r="N130"/>
  <c r="L130"/>
  <c r="F130"/>
  <c r="C130"/>
  <c r="B130"/>
  <c r="N129"/>
  <c r="L129"/>
  <c r="F129"/>
  <c r="C129"/>
  <c r="B129"/>
  <c r="N128"/>
  <c r="L128"/>
  <c r="F128"/>
  <c r="C128"/>
  <c r="B128"/>
  <c r="N127"/>
  <c r="L127"/>
  <c r="F127"/>
  <c r="C127"/>
  <c r="B127"/>
  <c r="N126"/>
  <c r="L126"/>
  <c r="F126"/>
  <c r="C126"/>
  <c r="B126"/>
  <c r="N125"/>
  <c r="L125"/>
  <c r="F125"/>
  <c r="C125"/>
  <c r="B125"/>
  <c r="N124"/>
  <c r="L124"/>
  <c r="F124"/>
  <c r="C124"/>
  <c r="B124"/>
  <c r="N123"/>
  <c r="L123"/>
  <c r="F123"/>
  <c r="C123"/>
  <c r="B123"/>
  <c r="N122"/>
  <c r="L122"/>
  <c r="F122"/>
  <c r="C122"/>
  <c r="B122"/>
  <c r="N121"/>
  <c r="L121"/>
  <c r="F121"/>
  <c r="C121"/>
  <c r="B121"/>
  <c r="N120"/>
  <c r="L120"/>
  <c r="F120"/>
  <c r="C120"/>
  <c r="B120"/>
  <c r="N119"/>
  <c r="L119"/>
  <c r="F119"/>
  <c r="C119"/>
  <c r="B119"/>
  <c r="N118"/>
  <c r="L118"/>
  <c r="F118"/>
  <c r="C118"/>
  <c r="B118"/>
  <c r="N117"/>
  <c r="L117"/>
  <c r="F117"/>
  <c r="C117"/>
  <c r="B117"/>
  <c r="N116"/>
  <c r="L116"/>
  <c r="F116"/>
  <c r="C116"/>
  <c r="B116"/>
  <c r="N115"/>
  <c r="L115"/>
  <c r="F115"/>
  <c r="C115"/>
  <c r="B115"/>
  <c r="N114"/>
  <c r="L114"/>
  <c r="F114"/>
  <c r="C114"/>
  <c r="B114"/>
  <c r="N113"/>
  <c r="L113"/>
  <c r="F113"/>
  <c r="C113"/>
  <c r="B113"/>
  <c r="N112"/>
  <c r="L112"/>
  <c r="F112"/>
  <c r="C112"/>
  <c r="B112"/>
  <c r="N111"/>
  <c r="L111"/>
  <c r="F111"/>
  <c r="C111"/>
  <c r="B111"/>
  <c r="N110"/>
  <c r="L110"/>
  <c r="F110"/>
  <c r="C110"/>
  <c r="B110"/>
  <c r="N109"/>
  <c r="L109"/>
  <c r="F109"/>
  <c r="C109"/>
  <c r="B109"/>
  <c r="N108"/>
  <c r="L108"/>
  <c r="F108"/>
  <c r="C108"/>
  <c r="B108"/>
  <c r="N107"/>
  <c r="L107"/>
  <c r="F107"/>
  <c r="C107"/>
  <c r="B107"/>
  <c r="N106"/>
  <c r="L106"/>
  <c r="F106"/>
  <c r="C106"/>
  <c r="B106"/>
  <c r="N105"/>
  <c r="L105"/>
  <c r="F105"/>
  <c r="C105"/>
  <c r="B105"/>
  <c r="N104"/>
  <c r="L104"/>
  <c r="F104"/>
  <c r="C104"/>
  <c r="B104"/>
  <c r="N103"/>
  <c r="L103"/>
  <c r="F103"/>
  <c r="C103"/>
  <c r="B103"/>
  <c r="N102"/>
  <c r="L102"/>
  <c r="F102"/>
  <c r="C102"/>
  <c r="B102"/>
  <c r="N101"/>
  <c r="L101"/>
  <c r="F101"/>
  <c r="C101"/>
  <c r="B101"/>
  <c r="N100"/>
  <c r="L100"/>
  <c r="F100"/>
  <c r="C100"/>
  <c r="B100"/>
  <c r="N99"/>
  <c r="L99"/>
  <c r="F99"/>
  <c r="C99"/>
  <c r="B99"/>
  <c r="N98"/>
  <c r="L98"/>
  <c r="F98"/>
  <c r="C98"/>
  <c r="B98"/>
  <c r="N97"/>
  <c r="L97"/>
  <c r="F97"/>
  <c r="C97"/>
  <c r="B97"/>
  <c r="N96"/>
  <c r="L96"/>
  <c r="F96"/>
  <c r="C96"/>
  <c r="B96"/>
  <c r="N95"/>
  <c r="L95"/>
  <c r="F95"/>
  <c r="C95"/>
  <c r="B95"/>
  <c r="N94"/>
  <c r="L94"/>
  <c r="F94"/>
  <c r="C94"/>
  <c r="B94"/>
  <c r="N93"/>
  <c r="L93"/>
  <c r="F93"/>
  <c r="C93"/>
  <c r="B93"/>
  <c r="N92"/>
  <c r="L92"/>
  <c r="F92"/>
  <c r="C92"/>
  <c r="B92"/>
  <c r="N91"/>
  <c r="L91"/>
  <c r="F91"/>
  <c r="C91"/>
  <c r="B91"/>
  <c r="N90"/>
  <c r="L90"/>
  <c r="F90"/>
  <c r="C90"/>
  <c r="B90"/>
  <c r="N89"/>
  <c r="L89"/>
  <c r="F89"/>
  <c r="C89"/>
  <c r="B89"/>
  <c r="N88"/>
  <c r="L88"/>
  <c r="F88"/>
  <c r="C88"/>
  <c r="B88"/>
  <c r="N87"/>
  <c r="L87"/>
  <c r="F87"/>
  <c r="C87"/>
  <c r="B87"/>
  <c r="N86"/>
  <c r="L86"/>
  <c r="F86"/>
  <c r="C86"/>
  <c r="B86"/>
  <c r="N85"/>
  <c r="L85"/>
  <c r="F85"/>
  <c r="C85"/>
  <c r="B85"/>
  <c r="N84"/>
  <c r="L84"/>
  <c r="F84"/>
  <c r="C84"/>
  <c r="B84"/>
  <c r="N83"/>
  <c r="L83"/>
  <c r="F83"/>
  <c r="C83"/>
  <c r="B83"/>
  <c r="N82"/>
  <c r="L82"/>
  <c r="F82"/>
  <c r="C82"/>
  <c r="B82"/>
  <c r="N81"/>
  <c r="L81"/>
  <c r="F81"/>
  <c r="C81"/>
  <c r="B81"/>
  <c r="N80"/>
  <c r="L80"/>
  <c r="F80"/>
  <c r="C80"/>
  <c r="B80"/>
  <c r="N79"/>
  <c r="L79"/>
  <c r="F79"/>
  <c r="C79"/>
  <c r="B79"/>
  <c r="N78"/>
  <c r="L78"/>
  <c r="F78"/>
  <c r="C78"/>
  <c r="B78"/>
  <c r="N77"/>
  <c r="L77"/>
  <c r="F77"/>
  <c r="C77"/>
  <c r="B77"/>
  <c r="N76"/>
  <c r="L76"/>
  <c r="F76"/>
  <c r="C76"/>
  <c r="B76"/>
  <c r="N75"/>
  <c r="L75"/>
  <c r="F75"/>
  <c r="C75"/>
  <c r="B75"/>
  <c r="N74"/>
  <c r="L74"/>
  <c r="F74"/>
  <c r="C74"/>
  <c r="B74"/>
  <c r="N73"/>
  <c r="L73"/>
  <c r="F73"/>
  <c r="C73"/>
  <c r="B73"/>
  <c r="N72"/>
  <c r="L72"/>
  <c r="F72"/>
  <c r="C72"/>
  <c r="B72"/>
  <c r="N71"/>
  <c r="L71"/>
  <c r="F71"/>
  <c r="C71"/>
  <c r="B71"/>
  <c r="N70"/>
  <c r="L70"/>
  <c r="F70"/>
  <c r="C70"/>
  <c r="B70"/>
  <c r="N69"/>
  <c r="L69"/>
  <c r="F69"/>
  <c r="C69"/>
  <c r="B69"/>
  <c r="N68"/>
  <c r="L68"/>
  <c r="F68"/>
  <c r="C68"/>
  <c r="B68"/>
  <c r="N67"/>
  <c r="L67"/>
  <c r="F67"/>
  <c r="C67"/>
  <c r="B67"/>
  <c r="N66"/>
  <c r="L66"/>
  <c r="F66"/>
  <c r="C66"/>
  <c r="B66"/>
  <c r="N65"/>
  <c r="L65"/>
  <c r="F65"/>
  <c r="C65"/>
  <c r="B65"/>
  <c r="N64"/>
  <c r="L64"/>
  <c r="F64"/>
  <c r="C64"/>
  <c r="B64"/>
  <c r="N63"/>
  <c r="L63"/>
  <c r="F63"/>
  <c r="C63"/>
  <c r="B63"/>
  <c r="N62"/>
  <c r="L62"/>
  <c r="F62"/>
  <c r="C62"/>
  <c r="B62"/>
  <c r="N61"/>
  <c r="L61"/>
  <c r="F61"/>
  <c r="C61"/>
  <c r="B61"/>
  <c r="N60"/>
  <c r="L60"/>
  <c r="F60"/>
  <c r="C60"/>
  <c r="B60"/>
  <c r="N59"/>
  <c r="L59"/>
  <c r="F59"/>
  <c r="C59"/>
  <c r="B59"/>
  <c r="N58"/>
  <c r="L58"/>
  <c r="F58"/>
  <c r="C58"/>
  <c r="B58"/>
  <c r="N57"/>
  <c r="L57"/>
  <c r="F57"/>
  <c r="C57"/>
  <c r="B57"/>
  <c r="N56"/>
  <c r="L56"/>
  <c r="F56"/>
  <c r="C56"/>
  <c r="B56"/>
  <c r="N55"/>
  <c r="L55"/>
  <c r="F55"/>
  <c r="C55"/>
  <c r="B55"/>
  <c r="N54"/>
  <c r="L54"/>
  <c r="F54"/>
  <c r="C54"/>
  <c r="B54"/>
  <c r="N53"/>
  <c r="L53"/>
  <c r="F53"/>
  <c r="C53"/>
  <c r="B53"/>
  <c r="N52"/>
  <c r="L52"/>
  <c r="F52"/>
  <c r="C52"/>
  <c r="B52"/>
  <c r="N51"/>
  <c r="L51"/>
  <c r="F51"/>
  <c r="C51"/>
  <c r="B51"/>
  <c r="N50"/>
  <c r="L50"/>
  <c r="F50"/>
  <c r="C50"/>
  <c r="B50"/>
  <c r="N49"/>
  <c r="L49"/>
  <c r="F49"/>
  <c r="C49"/>
  <c r="B49"/>
  <c r="N48"/>
  <c r="L48"/>
  <c r="F48"/>
  <c r="C48"/>
  <c r="B48"/>
  <c r="N47"/>
  <c r="L47"/>
  <c r="F47"/>
  <c r="C47"/>
  <c r="B47"/>
  <c r="N46"/>
  <c r="L46"/>
  <c r="F46"/>
  <c r="C46"/>
  <c r="B46"/>
  <c r="N45"/>
  <c r="L45"/>
  <c r="F45"/>
  <c r="C45"/>
  <c r="B45"/>
  <c r="N44"/>
  <c r="L44"/>
  <c r="F44"/>
  <c r="C44"/>
  <c r="B44"/>
  <c r="N43"/>
  <c r="L43"/>
  <c r="F43"/>
  <c r="C43"/>
  <c r="B43"/>
  <c r="N42"/>
  <c r="L42"/>
  <c r="F42"/>
  <c r="C42"/>
  <c r="B42"/>
  <c r="N41"/>
  <c r="L41"/>
  <c r="F41"/>
  <c r="C41"/>
  <c r="B41"/>
  <c r="N40"/>
  <c r="L40"/>
  <c r="F40"/>
  <c r="C40"/>
  <c r="B40"/>
  <c r="N39"/>
  <c r="L39"/>
  <c r="F39"/>
  <c r="C39"/>
  <c r="B39"/>
  <c r="N38"/>
  <c r="L38"/>
  <c r="F38"/>
  <c r="C38"/>
  <c r="B38"/>
  <c r="N37"/>
  <c r="L37"/>
  <c r="F37"/>
  <c r="C37"/>
  <c r="B37"/>
  <c r="N36"/>
  <c r="L36"/>
  <c r="F36"/>
  <c r="C36"/>
  <c r="B36"/>
  <c r="N35"/>
  <c r="L35"/>
  <c r="F35"/>
  <c r="C35"/>
  <c r="B35"/>
  <c r="N34"/>
  <c r="L34"/>
  <c r="F34"/>
  <c r="C34"/>
  <c r="B34"/>
  <c r="N33"/>
  <c r="L33"/>
  <c r="F33"/>
  <c r="C33"/>
  <c r="B33"/>
  <c r="N32"/>
  <c r="L32"/>
  <c r="F32"/>
  <c r="C32"/>
  <c r="B32"/>
  <c r="N31"/>
  <c r="L31"/>
  <c r="F31"/>
  <c r="C31"/>
  <c r="B31"/>
  <c r="N30"/>
  <c r="L30"/>
  <c r="F30"/>
  <c r="C30"/>
  <c r="B30"/>
  <c r="N29"/>
  <c r="L29"/>
  <c r="F29"/>
  <c r="C29"/>
  <c r="B29"/>
  <c r="N28"/>
  <c r="L28"/>
  <c r="F28"/>
  <c r="C28"/>
  <c r="B28"/>
  <c r="N27"/>
  <c r="L27"/>
  <c r="F27"/>
  <c r="C27"/>
  <c r="B27"/>
  <c r="N26"/>
  <c r="L26"/>
  <c r="F26"/>
  <c r="C26"/>
  <c r="B26"/>
  <c r="N25"/>
  <c r="L25"/>
  <c r="F25"/>
  <c r="C25"/>
  <c r="B25"/>
  <c r="N24"/>
  <c r="L24"/>
  <c r="F24"/>
  <c r="C24"/>
  <c r="B24"/>
  <c r="N23"/>
  <c r="L23"/>
  <c r="F23"/>
  <c r="C23"/>
  <c r="B23"/>
  <c r="N22"/>
  <c r="L22"/>
  <c r="F22"/>
  <c r="C22"/>
  <c r="B22"/>
  <c r="N21"/>
  <c r="L21"/>
  <c r="F21"/>
  <c r="C21"/>
  <c r="B21"/>
  <c r="N20"/>
  <c r="L20"/>
  <c r="F20"/>
  <c r="C20"/>
  <c r="B20"/>
  <c r="N19"/>
  <c r="L19"/>
  <c r="F19"/>
  <c r="C19"/>
  <c r="B19"/>
  <c r="N18"/>
  <c r="L18"/>
  <c r="F18"/>
  <c r="C18"/>
  <c r="B18"/>
  <c r="N17"/>
  <c r="L17"/>
  <c r="F17"/>
  <c r="C17"/>
  <c r="B17"/>
  <c r="N16"/>
  <c r="L16"/>
  <c r="F16"/>
  <c r="C16"/>
  <c r="B16"/>
  <c r="N15"/>
  <c r="L15"/>
  <c r="F15"/>
  <c r="C15"/>
  <c r="B15"/>
  <c r="N14"/>
  <c r="L14"/>
  <c r="F14"/>
  <c r="C14"/>
  <c r="B14"/>
  <c r="N13"/>
  <c r="L13"/>
  <c r="F13"/>
  <c r="C13"/>
  <c r="B13"/>
  <c r="N12"/>
  <c r="L12"/>
  <c r="F12"/>
  <c r="C12"/>
  <c r="B12"/>
  <c r="N11"/>
  <c r="L11"/>
  <c r="F11"/>
  <c r="C11"/>
  <c r="B11"/>
  <c r="N10"/>
  <c r="M10"/>
  <c r="L10"/>
  <c r="K10"/>
  <c r="J10"/>
  <c r="I10"/>
  <c r="H10"/>
  <c r="G10"/>
  <c r="F10"/>
  <c r="E10"/>
  <c r="D10"/>
  <c r="C10"/>
  <c r="B10"/>
  <c r="H9"/>
  <c r="G9"/>
  <c r="F9"/>
  <c r="E9"/>
  <c r="L8"/>
  <c r="K8"/>
  <c r="J8"/>
  <c r="G8"/>
  <c r="E8"/>
  <c r="N7"/>
  <c r="M7"/>
  <c r="J7"/>
  <c r="I7"/>
  <c r="E7"/>
  <c r="D7"/>
  <c r="M6"/>
  <c r="I6"/>
  <c r="D6"/>
  <c r="C6"/>
  <c r="B6"/>
  <c r="A6"/>
</calcChain>
</file>

<file path=xl/sharedStrings.xml><?xml version="1.0" encoding="utf-8"?>
<sst xmlns="http://schemas.openxmlformats.org/spreadsheetml/2006/main" count="215" uniqueCount="95">
  <si>
    <t>Отчет № 7. 15.09.2016 15:43:43</t>
  </si>
  <si>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</si>
  <si>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Выборы депутатов Думы города Нефтеюганска шестого созыва</t>
  </si>
  <si>
    <t>По состоянию на 14.09.2016</t>
  </si>
  <si>
    <t>В тыс. руб.</t>
  </si>
  <si>
    <t>1</t>
  </si>
  <si>
    <t>1.</t>
  </si>
  <si>
    <t/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</si>
  <si>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</si>
  <si>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</si>
  <si>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</si>
  <si>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</si>
  <si>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</si>
  <si>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</si>
  <si>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</si>
  <si>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</si>
  <si>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</si>
  <si>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</si>
  <si>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</si>
  <si>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</si>
  <si>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</si>
  <si>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</si>
  <si>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</si>
  <si>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</si>
  <si>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19.08.2016</t>
  </si>
  <si>
    <t>12.09.2016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</si>
  <si>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</si>
  <si>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</si>
  <si>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</si>
  <si>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</si>
  <si>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</si>
  <si>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</si>
  <si>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</si>
  <si>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</si>
  <si>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</si>
  <si>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</si>
  <si>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</si>
  <si>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</si>
  <si>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</si>
  <si>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</si>
  <si>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</si>
  <si>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</si>
  <si>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</si>
  <si>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</si>
  <si>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</si>
  <si>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</si>
  <si>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</si>
  <si>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</si>
  <si>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</si>
  <si>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</si>
  <si>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</si>
  <si>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</si>
  <si>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</si>
  <si>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</si>
  <si>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</si>
  <si>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</si>
  <si>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</si>
  <si>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</si>
  <si>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</si>
  <si>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</si>
  <si>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</si>
  <si>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</si>
  <si>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</si>
  <si>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</si>
  <si>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</si>
  <si>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</si>
  <si>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</si>
  <si>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</si>
  <si>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</si>
  <si>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</si>
  <si>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</si>
  <si>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</si>
  <si>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</si>
  <si>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</si>
  <si>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31.08.2016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</si>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</sst>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6"/>
  <sheetViews>
    <sheetView tabSelected="1" workbookViewId="0"/>
  </sheetViews>
  <sheetFormatPr defaultRowHeight="15"/>
  <cols>
    <col min="1" max="1" width="5.7109375" customWidth="1"/>
    <col min="2" max="3" width="38" customWidth="1"/>
    <col min="4" max="5" width="15.7109375" customWidth="1"/>
    <col min="7" max="7" width="15.7109375" customWidth="1"/>
    <col min="8" max="8" width="5.7109375" customWidth="1"/>
    <col min="9" max="9" width="15.7109375" customWidth="1"/>
    <col min="10" max="10" width="13.140625" customWidth="1"/>
    <col min="11" max="11" width="15.7109375" customWidth="1"/>
    <col min="13" max="13" width="15.7109375" customWidth="1"/>
    <col min="14" max="14" width="16.140625" customWidth="1"/>
  </cols>
  <sheetData>
    <row r="1" spans="1:14" ht="15" customHeight="1">
      <c r="N1" s="1" t="s">
        <v>0</v>
      </c>
    </row>
    <row r="2" spans="1:14" ht="206.1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N4" s="4" t="s">
        <v>3</v>
      </c>
    </row>
    <row r="5" spans="1:14">
      <c r="N5" s="4" t="s">
        <v>4</v>
      </c>
    </row>
    <row r="6" spans="1:14">
      <c r="A6" s="5" t="str">
        <f t="shared" ref="A6:A9" si="0">"№
п/п"</f>
        <v>№
п/п</v>
      </c>
      <c r="B6" s="5" t="str">
        <f t="shared" ref="B6:B9" si="1">"Наименование территории"</f>
        <v>Наименование территории</v>
      </c>
      <c r="C6" s="5" t="str">
        <f t="shared" ref="C6:C9" si="2">"Фамилия, имя, отчество кандидата"</f>
        <v>Фамилия, имя, отчество кандидата</v>
      </c>
      <c r="D6" s="8" t="str">
        <f t="shared" ref="D6:H6" si="3">"Поступило средств"</f>
        <v>Поступило средств</v>
      </c>
      <c r="E6" s="9"/>
      <c r="F6" s="9"/>
      <c r="G6" s="9"/>
      <c r="H6" s="10"/>
      <c r="I6" s="8" t="str">
        <f t="shared" ref="I6:L6" si="4">"Израсходовано средств"</f>
        <v>Израсходовано средств</v>
      </c>
      <c r="J6" s="9"/>
      <c r="K6" s="9"/>
      <c r="L6" s="10"/>
      <c r="M6" s="8" t="str">
        <f t="shared" ref="M6:N6" si="5">"Возвращено средств"</f>
        <v>Возвращено средств</v>
      </c>
      <c r="N6" s="10"/>
    </row>
    <row r="7" spans="1:14">
      <c r="A7" s="6"/>
      <c r="B7" s="6"/>
      <c r="C7" s="6"/>
      <c r="D7" s="5" t="str">
        <f t="shared" ref="D7:D9" si="6">"всего"</f>
        <v>всего</v>
      </c>
      <c r="E7" s="8" t="str">
        <f t="shared" ref="E7:H7" si="7">"из них"</f>
        <v>из них</v>
      </c>
      <c r="F7" s="9"/>
      <c r="G7" s="9"/>
      <c r="H7" s="10"/>
      <c r="I7" s="5" t="str">
        <f t="shared" ref="I7:I9" si="8">"всего"</f>
        <v>всего</v>
      </c>
      <c r="J7" s="8" t="str">
        <f t="shared" ref="J7:L7" si="9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K7" s="9"/>
      <c r="L7" s="10"/>
      <c r="M7" s="5" t="str">
        <f t="shared" ref="M7:M9" si="10">"сумма, тыс. руб."</f>
        <v>сумма, тыс. руб.</v>
      </c>
      <c r="N7" s="5" t="str">
        <f t="shared" ref="N7:N9" si="11">"основание возврата"</f>
        <v>основание возврата</v>
      </c>
    </row>
    <row r="8" spans="1:14">
      <c r="A8" s="6"/>
      <c r="B8" s="6"/>
      <c r="C8" s="6"/>
      <c r="D8" s="6"/>
      <c r="E8" s="8" t="str">
        <f t="shared" ref="E8:F8" si="12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F8" s="10"/>
      <c r="G8" s="8" t="str">
        <f t="shared" ref="G8:H8" si="13">"пожертвования от граждан на сумму, превышающую  20 тыс. рублей"</f>
        <v>пожертвования от граждан на сумму, превышающую  20 тыс. рублей</v>
      </c>
      <c r="H8" s="10"/>
      <c r="I8" s="6"/>
      <c r="J8" s="5" t="str">
        <f t="shared" ref="J8:J9" si="14">"дата операции"</f>
        <v>дата операции</v>
      </c>
      <c r="K8" s="5" t="str">
        <f t="shared" ref="K8:K9" si="15">"сумма, тыс. руб."</f>
        <v>сумма, тыс. руб.</v>
      </c>
      <c r="L8" s="5" t="str">
        <f t="shared" ref="L8:L9" si="16">"назначение платежа"</f>
        <v>назначение платежа</v>
      </c>
      <c r="M8" s="6"/>
      <c r="N8" s="6"/>
    </row>
    <row r="9" spans="1:14" ht="51">
      <c r="A9" s="7"/>
      <c r="B9" s="7"/>
      <c r="C9" s="7"/>
      <c r="D9" s="7"/>
      <c r="E9" s="11" t="str">
        <f>"сумма, тыс. руб."</f>
        <v>сумма, тыс. руб.</v>
      </c>
      <c r="F9" s="11" t="str">
        <f>"наименование юридического лица"</f>
        <v>наименование юридического лица</v>
      </c>
      <c r="G9" s="11" t="str">
        <f>"сумма, тыс. руб."</f>
        <v>сумма, тыс. руб.</v>
      </c>
      <c r="H9" s="11" t="str">
        <f>"кол-во граждан"</f>
        <v>кол-во граждан</v>
      </c>
      <c r="I9" s="7"/>
      <c r="J9" s="7"/>
      <c r="K9" s="7"/>
      <c r="L9" s="7"/>
      <c r="M9" s="7"/>
      <c r="N9" s="7"/>
    </row>
    <row r="10" spans="1:14">
      <c r="A10" s="12" t="s">
        <v>5</v>
      </c>
      <c r="B10" s="11" t="str">
        <f>"2"</f>
        <v>2</v>
      </c>
      <c r="C10" s="11" t="str">
        <f>"3"</f>
        <v>3</v>
      </c>
      <c r="D10" s="11" t="str">
        <f>"4"</f>
        <v>4</v>
      </c>
      <c r="E10" s="11" t="str">
        <f>"5"</f>
        <v>5</v>
      </c>
      <c r="F10" s="11" t="str">
        <f>"6"</f>
        <v>6</v>
      </c>
      <c r="G10" s="11" t="str">
        <f>"7"</f>
        <v>7</v>
      </c>
      <c r="H10" s="11" t="str">
        <f>"8"</f>
        <v>8</v>
      </c>
      <c r="I10" s="11" t="str">
        <f>"9"</f>
        <v>9</v>
      </c>
      <c r="J10" s="11" t="str">
        <f>"10"</f>
        <v>10</v>
      </c>
      <c r="K10" s="11" t="str">
        <f>"11"</f>
        <v>11</v>
      </c>
      <c r="L10" s="11" t="str">
        <f>"12"</f>
        <v>12</v>
      </c>
      <c r="M10" s="11" t="str">
        <f>"13"</f>
        <v>13</v>
      </c>
      <c r="N10" s="11" t="str">
        <f>"14"</f>
        <v>14</v>
      </c>
    </row>
    <row r="11" spans="1:14">
      <c r="A11" s="13" t="s">
        <v>6</v>
      </c>
      <c r="B11" s="14" t="str">
        <f>"Округ №1 (№ 1)"</f>
        <v>Округ №1 (№ 1)</v>
      </c>
      <c r="C11" s="14" t="str">
        <f>"Комков Валерий Евгеньевич"</f>
        <v>Комков Валерий Евгеньевич</v>
      </c>
      <c r="D11" s="15">
        <v>27.55</v>
      </c>
      <c r="E11" s="15"/>
      <c r="F11" s="14" t="str">
        <f>""</f>
        <v/>
      </c>
      <c r="G11" s="15"/>
      <c r="H11" s="16"/>
      <c r="I11" s="15">
        <v>27.55</v>
      </c>
      <c r="J11" s="17"/>
      <c r="K11" s="15"/>
      <c r="L11" s="14" t="str">
        <f>""</f>
        <v/>
      </c>
      <c r="M11" s="15"/>
      <c r="N11" s="14" t="str">
        <f>""</f>
        <v/>
      </c>
    </row>
    <row r="12" spans="1:14">
      <c r="A12" s="12" t="s">
        <v>7</v>
      </c>
      <c r="B12" s="18" t="str">
        <f>""</f>
        <v/>
      </c>
      <c r="C12" s="18" t="str">
        <f>"Итого по кандидату"</f>
        <v>Итого по кандидату</v>
      </c>
      <c r="D12" s="19">
        <v>27.55</v>
      </c>
      <c r="E12" s="19">
        <v>0</v>
      </c>
      <c r="F12" s="18" t="str">
        <f>""</f>
        <v/>
      </c>
      <c r="G12" s="19">
        <v>0</v>
      </c>
      <c r="H12" s="20"/>
      <c r="I12" s="19">
        <v>27.55</v>
      </c>
      <c r="J12" s="21"/>
      <c r="K12" s="19">
        <v>0</v>
      </c>
      <c r="L12" s="18" t="str">
        <f>""</f>
        <v/>
      </c>
      <c r="M12" s="19">
        <v>0</v>
      </c>
      <c r="N12" s="18" t="str">
        <f>""</f>
        <v/>
      </c>
    </row>
    <row r="13" spans="1:14">
      <c r="A13" s="13" t="s">
        <v>8</v>
      </c>
      <c r="B13" s="14" t="str">
        <f>"Округ №1 (№ 1)"</f>
        <v>Округ №1 (№ 1)</v>
      </c>
      <c r="C13" s="14" t="str">
        <f>"Сериков Игорь Сергеевич"</f>
        <v>Сериков Игорь Сергеевич</v>
      </c>
      <c r="D13" s="15">
        <v>1</v>
      </c>
      <c r="E13" s="15"/>
      <c r="F13" s="14" t="str">
        <f>""</f>
        <v/>
      </c>
      <c r="G13" s="15"/>
      <c r="H13" s="16"/>
      <c r="I13" s="15">
        <v>0.1</v>
      </c>
      <c r="J13" s="17"/>
      <c r="K13" s="15"/>
      <c r="L13" s="14" t="str">
        <f>""</f>
        <v/>
      </c>
      <c r="M13" s="15"/>
      <c r="N13" s="14" t="str">
        <f>""</f>
        <v/>
      </c>
    </row>
    <row r="14" spans="1:14">
      <c r="A14" s="12" t="s">
        <v>7</v>
      </c>
      <c r="B14" s="18" t="str">
        <f>""</f>
        <v/>
      </c>
      <c r="C14" s="18" t="str">
        <f>"Итого по кандидату"</f>
        <v>Итого по кандидату</v>
      </c>
      <c r="D14" s="19">
        <v>1</v>
      </c>
      <c r="E14" s="19">
        <v>0</v>
      </c>
      <c r="F14" s="18" t="str">
        <f>""</f>
        <v/>
      </c>
      <c r="G14" s="19">
        <v>0</v>
      </c>
      <c r="H14" s="20"/>
      <c r="I14" s="19">
        <v>0.1</v>
      </c>
      <c r="J14" s="21"/>
      <c r="K14" s="19">
        <v>0</v>
      </c>
      <c r="L14" s="18" t="str">
        <f>""</f>
        <v/>
      </c>
      <c r="M14" s="19">
        <v>0</v>
      </c>
      <c r="N14" s="18" t="str">
        <f>""</f>
        <v/>
      </c>
    </row>
    <row r="15" spans="1:14" ht="102">
      <c r="A15" s="13" t="s">
        <v>9</v>
      </c>
      <c r="B15" s="14" t="str">
        <f>"Округ №1 (№ 1)"</f>
        <v>Округ №1 (№ 1)</v>
      </c>
      <c r="C15" s="14" t="str">
        <f>"Чайкин Сергей Викторович"</f>
        <v>Чайкин Сергей Викторович</v>
      </c>
      <c r="D15" s="15"/>
      <c r="E15" s="15">
        <v>100</v>
      </c>
      <c r="F15" s="14" t="str">
        <f>"ОАО ""НефтеюганскГаз"""</f>
        <v>ОАО "НефтеюганскГаз"</v>
      </c>
      <c r="G15" s="15">
        <v>80</v>
      </c>
      <c r="H15" s="16">
        <v>2</v>
      </c>
      <c r="I15" s="15"/>
      <c r="J15" s="17"/>
      <c r="K15" s="15"/>
      <c r="L15" s="14" t="str">
        <f>""</f>
        <v/>
      </c>
      <c r="M15" s="15">
        <v>50</v>
      </c>
      <c r="N15" s="14" t="str">
        <f>"Возврат средств юридическому лицу, не указавшему в платежном поручении предусмотренные законом сведения"</f>
        <v>Возврат средств юридическому лицу, не указавшему в платежном поручении предусмотренные законом сведения</v>
      </c>
    </row>
    <row r="16" spans="1:14" ht="89.25">
      <c r="A16" s="13" t="s">
        <v>7</v>
      </c>
      <c r="B16" s="14" t="str">
        <f>""</f>
        <v/>
      </c>
      <c r="C16" s="14" t="str">
        <f>""</f>
        <v/>
      </c>
      <c r="D16" s="15"/>
      <c r="E16" s="15">
        <v>60</v>
      </c>
      <c r="F16" s="14" t="str">
        <f>"ООО Управляющая компания ""Югансктранссервис"""</f>
        <v>ООО Управляющая компания "Югансктранссервис"</v>
      </c>
      <c r="G16" s="15"/>
      <c r="H16" s="16"/>
      <c r="I16" s="15"/>
      <c r="J16" s="17"/>
      <c r="K16" s="15"/>
      <c r="L16" s="14" t="str">
        <f>""</f>
        <v/>
      </c>
      <c r="M16" s="15">
        <v>30</v>
      </c>
      <c r="N16" s="14" t="str">
        <f>"Возврат средств юридическому лицу по иным основаниям"</f>
        <v>Возврат средств юридическому лицу по иным основаниям</v>
      </c>
    </row>
    <row r="17" spans="1:14">
      <c r="A17" s="12" t="s">
        <v>7</v>
      </c>
      <c r="B17" s="18" t="str">
        <f>""</f>
        <v/>
      </c>
      <c r="C17" s="18" t="str">
        <f>"Итого по кандидату"</f>
        <v>Итого по кандидату</v>
      </c>
      <c r="D17" s="19">
        <v>240</v>
      </c>
      <c r="E17" s="19">
        <v>160</v>
      </c>
      <c r="F17" s="18" t="str">
        <f>""</f>
        <v/>
      </c>
      <c r="G17" s="19">
        <v>80</v>
      </c>
      <c r="H17" s="20"/>
      <c r="I17" s="19">
        <v>125.17</v>
      </c>
      <c r="J17" s="21"/>
      <c r="K17" s="19">
        <v>0</v>
      </c>
      <c r="L17" s="18" t="str">
        <f>""</f>
        <v/>
      </c>
      <c r="M17" s="19">
        <v>80</v>
      </c>
      <c r="N17" s="18" t="str">
        <f>""</f>
        <v/>
      </c>
    </row>
    <row r="18" spans="1:14">
      <c r="A18" s="13" t="s">
        <v>10</v>
      </c>
      <c r="B18" s="14" t="str">
        <f>"Округ №1 (№ 1)"</f>
        <v>Округ №1 (№ 1)</v>
      </c>
      <c r="C18" s="14" t="str">
        <f>"Чусовикин Иван Леонидович"</f>
        <v>Чусовикин Иван Леонидович</v>
      </c>
      <c r="D18" s="15">
        <v>0.3</v>
      </c>
      <c r="E18" s="15"/>
      <c r="F18" s="14" t="str">
        <f>""</f>
        <v/>
      </c>
      <c r="G18" s="15"/>
      <c r="H18" s="16"/>
      <c r="I18" s="15">
        <v>0.3</v>
      </c>
      <c r="J18" s="17"/>
      <c r="K18" s="15"/>
      <c r="L18" s="14" t="str">
        <f>""</f>
        <v/>
      </c>
      <c r="M18" s="15"/>
      <c r="N18" s="14" t="str">
        <f>""</f>
        <v/>
      </c>
    </row>
    <row r="19" spans="1:14">
      <c r="A19" s="12" t="s">
        <v>7</v>
      </c>
      <c r="B19" s="18" t="str">
        <f>""</f>
        <v/>
      </c>
      <c r="C19" s="18" t="str">
        <f>"Итого по кандидату"</f>
        <v>Итого по кандидату</v>
      </c>
      <c r="D19" s="19">
        <v>0.3</v>
      </c>
      <c r="E19" s="19">
        <v>0</v>
      </c>
      <c r="F19" s="18" t="str">
        <f>""</f>
        <v/>
      </c>
      <c r="G19" s="19">
        <v>0</v>
      </c>
      <c r="H19" s="20"/>
      <c r="I19" s="19">
        <v>0.3</v>
      </c>
      <c r="J19" s="21"/>
      <c r="K19" s="19">
        <v>0</v>
      </c>
      <c r="L19" s="18" t="str">
        <f>""</f>
        <v/>
      </c>
      <c r="M19" s="19">
        <v>0</v>
      </c>
      <c r="N19" s="18" t="str">
        <f>""</f>
        <v/>
      </c>
    </row>
    <row r="20" spans="1:14">
      <c r="A20" s="13" t="s">
        <v>11</v>
      </c>
      <c r="B20" s="14" t="str">
        <f>"Округ №1 (№ 1)"</f>
        <v>Округ №1 (№ 1)</v>
      </c>
      <c r="C20" s="14" t="str">
        <f>"Швецов Руслан Васильевич"</f>
        <v>Швецов Руслан Васильевич</v>
      </c>
      <c r="D20" s="15">
        <v>37</v>
      </c>
      <c r="E20" s="15"/>
      <c r="F20" s="14" t="str">
        <f>""</f>
        <v/>
      </c>
      <c r="G20" s="15"/>
      <c r="H20" s="16"/>
      <c r="I20" s="15">
        <v>36.74</v>
      </c>
      <c r="J20" s="17"/>
      <c r="K20" s="15"/>
      <c r="L20" s="14" t="str">
        <f>""</f>
        <v/>
      </c>
      <c r="M20" s="15"/>
      <c r="N20" s="14" t="str">
        <f>""</f>
        <v/>
      </c>
    </row>
    <row r="21" spans="1:14">
      <c r="A21" s="12" t="s">
        <v>7</v>
      </c>
      <c r="B21" s="18" t="str">
        <f>""</f>
        <v/>
      </c>
      <c r="C21" s="18" t="str">
        <f>"Итого по кандидату"</f>
        <v>Итого по кандидату</v>
      </c>
      <c r="D21" s="19">
        <v>37</v>
      </c>
      <c r="E21" s="19">
        <v>0</v>
      </c>
      <c r="F21" s="18" t="str">
        <f>""</f>
        <v/>
      </c>
      <c r="G21" s="19">
        <v>0</v>
      </c>
      <c r="H21" s="20"/>
      <c r="I21" s="19">
        <v>36.74</v>
      </c>
      <c r="J21" s="21"/>
      <c r="K21" s="19">
        <v>0</v>
      </c>
      <c r="L21" s="18" t="str">
        <f>""</f>
        <v/>
      </c>
      <c r="M21" s="19">
        <v>0</v>
      </c>
      <c r="N21" s="18" t="str">
        <f>""</f>
        <v/>
      </c>
    </row>
    <row r="22" spans="1:14" ht="25.5">
      <c r="A22" s="12" t="s">
        <v>7</v>
      </c>
      <c r="B22" s="18" t="str">
        <f>""</f>
        <v/>
      </c>
      <c r="C22" s="18" t="str">
        <f>"Избирательный округ (Округ №1 (№ 1)), всего"</f>
        <v>Избирательный округ (Округ №1 (№ 1)), всего</v>
      </c>
      <c r="D22" s="19">
        <v>305.85000000000002</v>
      </c>
      <c r="E22" s="19">
        <v>160</v>
      </c>
      <c r="F22" s="18" t="str">
        <f>""</f>
        <v/>
      </c>
      <c r="G22" s="19">
        <v>80</v>
      </c>
      <c r="H22" s="20"/>
      <c r="I22" s="19">
        <v>189.85</v>
      </c>
      <c r="J22" s="21"/>
      <c r="K22" s="19">
        <v>0</v>
      </c>
      <c r="L22" s="18" t="str">
        <f>""</f>
        <v/>
      </c>
      <c r="M22" s="19">
        <v>80</v>
      </c>
      <c r="N22" s="18" t="str">
        <f>""</f>
        <v/>
      </c>
    </row>
    <row r="23" spans="1:14">
      <c r="A23" s="13" t="s">
        <v>12</v>
      </c>
      <c r="B23" s="14" t="str">
        <f>"Округ №10 (№ 10)"</f>
        <v>Округ №10 (№ 10)</v>
      </c>
      <c r="C23" s="14" t="str">
        <f>"Казаков Алексей Алексеевич"</f>
        <v>Казаков Алексей Алексеевич</v>
      </c>
      <c r="D23" s="15">
        <v>43.5</v>
      </c>
      <c r="E23" s="15"/>
      <c r="F23" s="14" t="str">
        <f>""</f>
        <v/>
      </c>
      <c r="G23" s="15"/>
      <c r="H23" s="16"/>
      <c r="I23" s="15">
        <v>43.5</v>
      </c>
      <c r="J23" s="17"/>
      <c r="K23" s="15"/>
      <c r="L23" s="14" t="str">
        <f>""</f>
        <v/>
      </c>
      <c r="M23" s="15"/>
      <c r="N23" s="14" t="str">
        <f>""</f>
        <v/>
      </c>
    </row>
    <row r="24" spans="1:14">
      <c r="A24" s="12" t="s">
        <v>7</v>
      </c>
      <c r="B24" s="18" t="str">
        <f>""</f>
        <v/>
      </c>
      <c r="C24" s="18" t="str">
        <f>"Итого по кандидату"</f>
        <v>Итого по кандидату</v>
      </c>
      <c r="D24" s="19">
        <v>43.5</v>
      </c>
      <c r="E24" s="19">
        <v>0</v>
      </c>
      <c r="F24" s="18" t="str">
        <f>""</f>
        <v/>
      </c>
      <c r="G24" s="19">
        <v>0</v>
      </c>
      <c r="H24" s="20"/>
      <c r="I24" s="19">
        <v>43.5</v>
      </c>
      <c r="J24" s="21"/>
      <c r="K24" s="19">
        <v>0</v>
      </c>
      <c r="L24" s="18" t="str">
        <f>""</f>
        <v/>
      </c>
      <c r="M24" s="19">
        <v>0</v>
      </c>
      <c r="N24" s="18" t="str">
        <f>""</f>
        <v/>
      </c>
    </row>
    <row r="25" spans="1:14">
      <c r="A25" s="13" t="s">
        <v>13</v>
      </c>
      <c r="B25" s="14" t="str">
        <f>"Округ №10 (№ 10)"</f>
        <v>Округ №10 (№ 10)</v>
      </c>
      <c r="C25" s="14" t="str">
        <f>"Орешкина Альфира Айратовна"</f>
        <v>Орешкина Альфира Айратовна</v>
      </c>
      <c r="D25" s="15">
        <v>0.3</v>
      </c>
      <c r="E25" s="15"/>
      <c r="F25" s="14" t="str">
        <f>""</f>
        <v/>
      </c>
      <c r="G25" s="15"/>
      <c r="H25" s="16"/>
      <c r="I25" s="15">
        <v>0.3</v>
      </c>
      <c r="J25" s="17"/>
      <c r="K25" s="15"/>
      <c r="L25" s="14" t="str">
        <f>""</f>
        <v/>
      </c>
      <c r="M25" s="15"/>
      <c r="N25" s="14" t="str">
        <f>""</f>
        <v/>
      </c>
    </row>
    <row r="26" spans="1:14">
      <c r="A26" s="12" t="s">
        <v>7</v>
      </c>
      <c r="B26" s="18" t="str">
        <f>""</f>
        <v/>
      </c>
      <c r="C26" s="18" t="str">
        <f>"Итого по кандидату"</f>
        <v>Итого по кандидату</v>
      </c>
      <c r="D26" s="19">
        <v>0.3</v>
      </c>
      <c r="E26" s="19">
        <v>0</v>
      </c>
      <c r="F26" s="18" t="str">
        <f>""</f>
        <v/>
      </c>
      <c r="G26" s="19">
        <v>0</v>
      </c>
      <c r="H26" s="20"/>
      <c r="I26" s="19">
        <v>0.3</v>
      </c>
      <c r="J26" s="21"/>
      <c r="K26" s="19">
        <v>0</v>
      </c>
      <c r="L26" s="18" t="str">
        <f>""</f>
        <v/>
      </c>
      <c r="M26" s="19">
        <v>0</v>
      </c>
      <c r="N26" s="18" t="str">
        <f>""</f>
        <v/>
      </c>
    </row>
    <row r="27" spans="1:14">
      <c r="A27" s="13" t="s">
        <v>14</v>
      </c>
      <c r="B27" s="14" t="str">
        <f>"Округ №10 (№ 10)"</f>
        <v>Округ №10 (№ 10)</v>
      </c>
      <c r="C27" s="14" t="str">
        <f>"Семухин Сергей Владимирович"</f>
        <v>Семухин Сергей Владимирович</v>
      </c>
      <c r="D27" s="15">
        <v>0.2</v>
      </c>
      <c r="E27" s="15"/>
      <c r="F27" s="14" t="str">
        <f>""</f>
        <v/>
      </c>
      <c r="G27" s="15"/>
      <c r="H27" s="16"/>
      <c r="I27" s="15">
        <v>0.2</v>
      </c>
      <c r="J27" s="17"/>
      <c r="K27" s="15"/>
      <c r="L27" s="14" t="str">
        <f>""</f>
        <v/>
      </c>
      <c r="M27" s="15"/>
      <c r="N27" s="14" t="str">
        <f>""</f>
        <v/>
      </c>
    </row>
    <row r="28" spans="1:14">
      <c r="A28" s="12" t="s">
        <v>7</v>
      </c>
      <c r="B28" s="18" t="str">
        <f>""</f>
        <v/>
      </c>
      <c r="C28" s="18" t="str">
        <f>"Итого по кандидату"</f>
        <v>Итого по кандидату</v>
      </c>
      <c r="D28" s="19">
        <v>0.2</v>
      </c>
      <c r="E28" s="19">
        <v>0</v>
      </c>
      <c r="F28" s="18" t="str">
        <f>""</f>
        <v/>
      </c>
      <c r="G28" s="19">
        <v>0</v>
      </c>
      <c r="H28" s="20"/>
      <c r="I28" s="19">
        <v>0.2</v>
      </c>
      <c r="J28" s="21"/>
      <c r="K28" s="19">
        <v>0</v>
      </c>
      <c r="L28" s="18" t="str">
        <f>""</f>
        <v/>
      </c>
      <c r="M28" s="19">
        <v>0</v>
      </c>
      <c r="N28" s="18" t="str">
        <f>""</f>
        <v/>
      </c>
    </row>
    <row r="29" spans="1:14">
      <c r="A29" s="13" t="s">
        <v>15</v>
      </c>
      <c r="B29" s="14" t="str">
        <f>"Округ №10 (№ 10)"</f>
        <v>Округ №10 (№ 10)</v>
      </c>
      <c r="C29" s="14" t="str">
        <f>"Степанкин Евгений Анатольевич"</f>
        <v>Степанкин Евгений Анатольевич</v>
      </c>
      <c r="D29" s="15">
        <v>0.3</v>
      </c>
      <c r="E29" s="15"/>
      <c r="F29" s="14" t="str">
        <f>""</f>
        <v/>
      </c>
      <c r="G29" s="15"/>
      <c r="H29" s="16"/>
      <c r="I29" s="15">
        <v>0.3</v>
      </c>
      <c r="J29" s="17"/>
      <c r="K29" s="15"/>
      <c r="L29" s="14" t="str">
        <f>""</f>
        <v/>
      </c>
      <c r="M29" s="15"/>
      <c r="N29" s="14" t="str">
        <f>""</f>
        <v/>
      </c>
    </row>
    <row r="30" spans="1:14">
      <c r="A30" s="12" t="s">
        <v>7</v>
      </c>
      <c r="B30" s="18" t="str">
        <f>""</f>
        <v/>
      </c>
      <c r="C30" s="18" t="str">
        <f>"Итого по кандидату"</f>
        <v>Итого по кандидату</v>
      </c>
      <c r="D30" s="19">
        <v>0.3</v>
      </c>
      <c r="E30" s="19">
        <v>0</v>
      </c>
      <c r="F30" s="18" t="str">
        <f>""</f>
        <v/>
      </c>
      <c r="G30" s="19">
        <v>0</v>
      </c>
      <c r="H30" s="20"/>
      <c r="I30" s="19">
        <v>0.3</v>
      </c>
      <c r="J30" s="21"/>
      <c r="K30" s="19">
        <v>0</v>
      </c>
      <c r="L30" s="18" t="str">
        <f>""</f>
        <v/>
      </c>
      <c r="M30" s="19">
        <v>0</v>
      </c>
      <c r="N30" s="18" t="str">
        <f>""</f>
        <v/>
      </c>
    </row>
    <row r="31" spans="1:14" ht="25.5">
      <c r="A31" s="12" t="s">
        <v>7</v>
      </c>
      <c r="B31" s="18" t="str">
        <f>""</f>
        <v/>
      </c>
      <c r="C31" s="18" t="str">
        <f>"Избирательный округ (Округ №10 (№ 10)), всего"</f>
        <v>Избирательный округ (Округ №10 (№ 10)), всего</v>
      </c>
      <c r="D31" s="19">
        <v>44.3</v>
      </c>
      <c r="E31" s="19">
        <v>0</v>
      </c>
      <c r="F31" s="18" t="str">
        <f>""</f>
        <v/>
      </c>
      <c r="G31" s="19">
        <v>0</v>
      </c>
      <c r="H31" s="20"/>
      <c r="I31" s="19">
        <v>44.3</v>
      </c>
      <c r="J31" s="21"/>
      <c r="K31" s="19">
        <v>0</v>
      </c>
      <c r="L31" s="18" t="str">
        <f>""</f>
        <v/>
      </c>
      <c r="M31" s="19">
        <v>0</v>
      </c>
      <c r="N31" s="18" t="str">
        <f>""</f>
        <v/>
      </c>
    </row>
    <row r="32" spans="1:14">
      <c r="A32" s="13" t="s">
        <v>16</v>
      </c>
      <c r="B32" s="14" t="str">
        <f>"Округ №11 (№ 11)"</f>
        <v>Округ №11 (№ 11)</v>
      </c>
      <c r="C32" s="14" t="str">
        <f>"Гуртов Алексей Борисович"</f>
        <v>Гуртов Алексей Борисович</v>
      </c>
      <c r="D32" s="15">
        <v>0.35</v>
      </c>
      <c r="E32" s="15"/>
      <c r="F32" s="14" t="str">
        <f>""</f>
        <v/>
      </c>
      <c r="G32" s="15"/>
      <c r="H32" s="16"/>
      <c r="I32" s="15">
        <v>0.3</v>
      </c>
      <c r="J32" s="17"/>
      <c r="K32" s="15"/>
      <c r="L32" s="14" t="str">
        <f>""</f>
        <v/>
      </c>
      <c r="M32" s="15"/>
      <c r="N32" s="14" t="str">
        <f>""</f>
        <v/>
      </c>
    </row>
    <row r="33" spans="1:14">
      <c r="A33" s="12" t="s">
        <v>7</v>
      </c>
      <c r="B33" s="18" t="str">
        <f>""</f>
        <v/>
      </c>
      <c r="C33" s="18" t="str">
        <f>"Итого по кандидату"</f>
        <v>Итого по кандидату</v>
      </c>
      <c r="D33" s="19">
        <v>0.35</v>
      </c>
      <c r="E33" s="19">
        <v>0</v>
      </c>
      <c r="F33" s="18" t="str">
        <f>""</f>
        <v/>
      </c>
      <c r="G33" s="19">
        <v>0</v>
      </c>
      <c r="H33" s="20"/>
      <c r="I33" s="19">
        <v>0.3</v>
      </c>
      <c r="J33" s="21"/>
      <c r="K33" s="19">
        <v>0</v>
      </c>
      <c r="L33" s="18" t="str">
        <f>""</f>
        <v/>
      </c>
      <c r="M33" s="19">
        <v>0</v>
      </c>
      <c r="N33" s="18" t="str">
        <f>""</f>
        <v/>
      </c>
    </row>
    <row r="34" spans="1:14">
      <c r="A34" s="13" t="s">
        <v>17</v>
      </c>
      <c r="B34" s="14" t="str">
        <f>"Округ №11 (№ 11)"</f>
        <v>Округ №11 (№ 11)</v>
      </c>
      <c r="C34" s="14" t="str">
        <f>"Домачук Николай Владимирович"</f>
        <v>Домачук Николай Владимирович</v>
      </c>
      <c r="D34" s="15">
        <v>80</v>
      </c>
      <c r="E34" s="15"/>
      <c r="F34" s="14" t="str">
        <f>""</f>
        <v/>
      </c>
      <c r="G34" s="15">
        <v>80</v>
      </c>
      <c r="H34" s="16">
        <v>2</v>
      </c>
      <c r="I34" s="15">
        <v>75.92</v>
      </c>
      <c r="J34" s="17"/>
      <c r="K34" s="15"/>
      <c r="L34" s="14" t="str">
        <f>""</f>
        <v/>
      </c>
      <c r="M34" s="15"/>
      <c r="N34" s="14" t="str">
        <f>""</f>
        <v/>
      </c>
    </row>
    <row r="35" spans="1:14">
      <c r="A35" s="12" t="s">
        <v>7</v>
      </c>
      <c r="B35" s="18" t="str">
        <f>""</f>
        <v/>
      </c>
      <c r="C35" s="18" t="str">
        <f>"Итого по кандидату"</f>
        <v>Итого по кандидату</v>
      </c>
      <c r="D35" s="19">
        <v>80</v>
      </c>
      <c r="E35" s="19">
        <v>0</v>
      </c>
      <c r="F35" s="18" t="str">
        <f>""</f>
        <v/>
      </c>
      <c r="G35" s="19">
        <v>80</v>
      </c>
      <c r="H35" s="20"/>
      <c r="I35" s="19">
        <v>75.92</v>
      </c>
      <c r="J35" s="21"/>
      <c r="K35" s="19">
        <v>0</v>
      </c>
      <c r="L35" s="18" t="str">
        <f>""</f>
        <v/>
      </c>
      <c r="M35" s="19">
        <v>0</v>
      </c>
      <c r="N35" s="18" t="str">
        <f>""</f>
        <v/>
      </c>
    </row>
    <row r="36" spans="1:14" ht="204">
      <c r="A36" s="13" t="s">
        <v>18</v>
      </c>
      <c r="B36" s="14" t="str">
        <f>"Округ №11 (№ 11)"</f>
        <v>Округ №11 (№ 11)</v>
      </c>
      <c r="C36" s="14" t="str">
        <f>"Красильникова Светлана Александровна"</f>
        <v>Красильникова Светлана Александровна</v>
      </c>
      <c r="D36" s="15">
        <v>100</v>
      </c>
      <c r="E36" s="15">
        <v>50</v>
      </c>
      <c r="F36" s="14" t="str">
        <f>"Ханты-Мансийское окружное отделение политической партии ""КОММУНИСТИЧЕСКАЯ ПАРТИЯ РОССИЙСКОЙ ФЕДЕРАЦИИ"""</f>
        <v>Ханты-Мансийское окружное отделение политической партии "КОММУНИСТИЧЕСКАЯ ПАРТИЯ РОССИЙСКОЙ ФЕДЕРАЦИИ"</v>
      </c>
      <c r="G36" s="15"/>
      <c r="H36" s="16"/>
      <c r="I36" s="15">
        <v>49.29</v>
      </c>
      <c r="J36" s="17"/>
      <c r="K36" s="15"/>
      <c r="L36" s="14" t="str">
        <f>""</f>
        <v/>
      </c>
      <c r="M36" s="15"/>
      <c r="N36" s="14" t="str">
        <f>""</f>
        <v/>
      </c>
    </row>
    <row r="37" spans="1:14">
      <c r="A37" s="12" t="s">
        <v>7</v>
      </c>
      <c r="B37" s="18" t="str">
        <f>""</f>
        <v/>
      </c>
      <c r="C37" s="18" t="str">
        <f>"Итого по кандидату"</f>
        <v>Итого по кандидату</v>
      </c>
      <c r="D37" s="19">
        <v>100</v>
      </c>
      <c r="E37" s="19">
        <v>50</v>
      </c>
      <c r="F37" s="18" t="str">
        <f>""</f>
        <v/>
      </c>
      <c r="G37" s="19">
        <v>0</v>
      </c>
      <c r="H37" s="20"/>
      <c r="I37" s="19">
        <v>49.29</v>
      </c>
      <c r="J37" s="21"/>
      <c r="K37" s="19">
        <v>0</v>
      </c>
      <c r="L37" s="18" t="str">
        <f>""</f>
        <v/>
      </c>
      <c r="M37" s="19">
        <v>0</v>
      </c>
      <c r="N37" s="18" t="str">
        <f>""</f>
        <v/>
      </c>
    </row>
    <row r="38" spans="1:14">
      <c r="A38" s="13" t="s">
        <v>19</v>
      </c>
      <c r="B38" s="14" t="str">
        <f>"Округ №11 (№ 11)"</f>
        <v>Округ №11 (№ 11)</v>
      </c>
      <c r="C38" s="14" t="str">
        <f>"Макеев Константин Федорович"</f>
        <v>Макеев Константин Федорович</v>
      </c>
      <c r="D38" s="15">
        <v>64</v>
      </c>
      <c r="E38" s="15"/>
      <c r="F38" s="14" t="str">
        <f>""</f>
        <v/>
      </c>
      <c r="G38" s="15"/>
      <c r="H38" s="16"/>
      <c r="I38" s="15">
        <v>58.52</v>
      </c>
      <c r="J38" s="17"/>
      <c r="K38" s="15"/>
      <c r="L38" s="14" t="str">
        <f>""</f>
        <v/>
      </c>
      <c r="M38" s="15"/>
      <c r="N38" s="14" t="str">
        <f>""</f>
        <v/>
      </c>
    </row>
    <row r="39" spans="1:14">
      <c r="A39" s="12" t="s">
        <v>7</v>
      </c>
      <c r="B39" s="18" t="str">
        <f>""</f>
        <v/>
      </c>
      <c r="C39" s="18" t="str">
        <f>"Итого по кандидату"</f>
        <v>Итого по кандидату</v>
      </c>
      <c r="D39" s="19">
        <v>64</v>
      </c>
      <c r="E39" s="19">
        <v>0</v>
      </c>
      <c r="F39" s="18" t="str">
        <f>""</f>
        <v/>
      </c>
      <c r="G39" s="19">
        <v>0</v>
      </c>
      <c r="H39" s="20"/>
      <c r="I39" s="19">
        <v>58.52</v>
      </c>
      <c r="J39" s="21"/>
      <c r="K39" s="19">
        <v>0</v>
      </c>
      <c r="L39" s="18" t="str">
        <f>""</f>
        <v/>
      </c>
      <c r="M39" s="19">
        <v>0</v>
      </c>
      <c r="N39" s="18" t="str">
        <f>""</f>
        <v/>
      </c>
    </row>
    <row r="40" spans="1:14" ht="25.5">
      <c r="A40" s="12" t="s">
        <v>7</v>
      </c>
      <c r="B40" s="18" t="str">
        <f>""</f>
        <v/>
      </c>
      <c r="C40" s="18" t="str">
        <f>"Избирательный округ (Округ №11 (№ 11)), всего"</f>
        <v>Избирательный округ (Округ №11 (№ 11)), всего</v>
      </c>
      <c r="D40" s="19">
        <v>244.35</v>
      </c>
      <c r="E40" s="19">
        <v>50</v>
      </c>
      <c r="F40" s="18" t="str">
        <f>""</f>
        <v/>
      </c>
      <c r="G40" s="19">
        <v>80</v>
      </c>
      <c r="H40" s="20"/>
      <c r="I40" s="19">
        <v>184.03</v>
      </c>
      <c r="J40" s="21"/>
      <c r="K40" s="19">
        <v>0</v>
      </c>
      <c r="L40" s="18" t="str">
        <f>""</f>
        <v/>
      </c>
      <c r="M40" s="19">
        <v>0</v>
      </c>
      <c r="N40" s="18" t="str">
        <f>""</f>
        <v/>
      </c>
    </row>
    <row r="41" spans="1:14">
      <c r="A41" s="13" t="s">
        <v>20</v>
      </c>
      <c r="B41" s="14" t="str">
        <f>"Округ №12 (№ 12)"</f>
        <v>Округ №12 (№ 12)</v>
      </c>
      <c r="C41" s="14" t="str">
        <f>"Давлетов Рузиль Фагимович"</f>
        <v>Давлетов Рузиль Фагимович</v>
      </c>
      <c r="D41" s="15">
        <v>0.3</v>
      </c>
      <c r="E41" s="15"/>
      <c r="F41" s="14" t="str">
        <f>""</f>
        <v/>
      </c>
      <c r="G41" s="15"/>
      <c r="H41" s="16"/>
      <c r="I41" s="15">
        <v>0.3</v>
      </c>
      <c r="J41" s="17"/>
      <c r="K41" s="15"/>
      <c r="L41" s="14" t="str">
        <f>""</f>
        <v/>
      </c>
      <c r="M41" s="15"/>
      <c r="N41" s="14" t="str">
        <f>""</f>
        <v/>
      </c>
    </row>
    <row r="42" spans="1:14">
      <c r="A42" s="12" t="s">
        <v>7</v>
      </c>
      <c r="B42" s="18" t="str">
        <f>""</f>
        <v/>
      </c>
      <c r="C42" s="18" t="str">
        <f>"Итого по кандидату"</f>
        <v>Итого по кандидату</v>
      </c>
      <c r="D42" s="19">
        <v>0.3</v>
      </c>
      <c r="E42" s="19">
        <v>0</v>
      </c>
      <c r="F42" s="18" t="str">
        <f>""</f>
        <v/>
      </c>
      <c r="G42" s="19">
        <v>0</v>
      </c>
      <c r="H42" s="20"/>
      <c r="I42" s="19">
        <v>0.3</v>
      </c>
      <c r="J42" s="21"/>
      <c r="K42" s="19">
        <v>0</v>
      </c>
      <c r="L42" s="18" t="str">
        <f>""</f>
        <v/>
      </c>
      <c r="M42" s="19">
        <v>0</v>
      </c>
      <c r="N42" s="18" t="str">
        <f>""</f>
        <v/>
      </c>
    </row>
    <row r="43" spans="1:14">
      <c r="A43" s="13" t="s">
        <v>21</v>
      </c>
      <c r="B43" s="14" t="str">
        <f>"Округ №12 (№ 12)"</f>
        <v>Округ №12 (№ 12)</v>
      </c>
      <c r="C43" s="14" t="str">
        <f>"Легченко Сергей Владимирович"</f>
        <v>Легченко Сергей Владимирович</v>
      </c>
      <c r="D43" s="15">
        <v>0.4</v>
      </c>
      <c r="E43" s="15"/>
      <c r="F43" s="14" t="str">
        <f>""</f>
        <v/>
      </c>
      <c r="G43" s="15"/>
      <c r="H43" s="16"/>
      <c r="I43" s="15">
        <v>0.4</v>
      </c>
      <c r="J43" s="17"/>
      <c r="K43" s="15"/>
      <c r="L43" s="14" t="str">
        <f>""</f>
        <v/>
      </c>
      <c r="M43" s="15"/>
      <c r="N43" s="14" t="str">
        <f>""</f>
        <v/>
      </c>
    </row>
    <row r="44" spans="1:14">
      <c r="A44" s="12" t="s">
        <v>7</v>
      </c>
      <c r="B44" s="18" t="str">
        <f>""</f>
        <v/>
      </c>
      <c r="C44" s="18" t="str">
        <f>"Итого по кандидату"</f>
        <v>Итого по кандидату</v>
      </c>
      <c r="D44" s="19">
        <v>0.4</v>
      </c>
      <c r="E44" s="19">
        <v>0</v>
      </c>
      <c r="F44" s="18" t="str">
        <f>""</f>
        <v/>
      </c>
      <c r="G44" s="19">
        <v>0</v>
      </c>
      <c r="H44" s="20"/>
      <c r="I44" s="19">
        <v>0.4</v>
      </c>
      <c r="J44" s="21"/>
      <c r="K44" s="19">
        <v>0</v>
      </c>
      <c r="L44" s="18" t="str">
        <f>""</f>
        <v/>
      </c>
      <c r="M44" s="19">
        <v>0</v>
      </c>
      <c r="N44" s="18" t="str">
        <f>""</f>
        <v/>
      </c>
    </row>
    <row r="45" spans="1:14">
      <c r="A45" s="13" t="s">
        <v>22</v>
      </c>
      <c r="B45" s="14" t="str">
        <f>"Округ №12 (№ 12)"</f>
        <v>Округ №12 (№ 12)</v>
      </c>
      <c r="C45" s="14" t="str">
        <f>"Поволоцкая Лилия Викторовна"</f>
        <v>Поволоцкая Лилия Викторовна</v>
      </c>
      <c r="D45" s="15">
        <v>12.55</v>
      </c>
      <c r="E45" s="15"/>
      <c r="F45" s="14" t="str">
        <f>""</f>
        <v/>
      </c>
      <c r="G45" s="15"/>
      <c r="H45" s="16"/>
      <c r="I45" s="15">
        <v>12.55</v>
      </c>
      <c r="J45" s="17"/>
      <c r="K45" s="15"/>
      <c r="L45" s="14" t="str">
        <f>""</f>
        <v/>
      </c>
      <c r="M45" s="15"/>
      <c r="N45" s="14" t="str">
        <f>""</f>
        <v/>
      </c>
    </row>
    <row r="46" spans="1:14">
      <c r="A46" s="12" t="s">
        <v>7</v>
      </c>
      <c r="B46" s="18" t="str">
        <f>""</f>
        <v/>
      </c>
      <c r="C46" s="18" t="str">
        <f>"Итого по кандидату"</f>
        <v>Итого по кандидату</v>
      </c>
      <c r="D46" s="19">
        <v>12.55</v>
      </c>
      <c r="E46" s="19">
        <v>0</v>
      </c>
      <c r="F46" s="18" t="str">
        <f>""</f>
        <v/>
      </c>
      <c r="G46" s="19">
        <v>0</v>
      </c>
      <c r="H46" s="20"/>
      <c r="I46" s="19">
        <v>12.55</v>
      </c>
      <c r="J46" s="21"/>
      <c r="K46" s="19">
        <v>0</v>
      </c>
      <c r="L46" s="18" t="str">
        <f>""</f>
        <v/>
      </c>
      <c r="M46" s="19">
        <v>0</v>
      </c>
      <c r="N46" s="18" t="str">
        <f>""</f>
        <v/>
      </c>
    </row>
    <row r="47" spans="1:14" ht="255">
      <c r="A47" s="13" t="s">
        <v>23</v>
      </c>
      <c r="B47" s="14" t="str">
        <f>"Округ №12 (№ 12)"</f>
        <v>Округ №12 (№ 12)</v>
      </c>
      <c r="C47" s="14" t="str">
        <f>"Посохов Александр Александрович"</f>
        <v>Посохов Александр Александрович</v>
      </c>
      <c r="D47" s="15"/>
      <c r="E47" s="15">
        <v>50</v>
      </c>
      <c r="F47" s="14" t="str">
        <f>"Общество с ограниченной ответственностью ""Н-ЭнергоСтрой"""</f>
        <v>Общество с ограниченной ответственностью "Н-ЭнергоСтрой"</v>
      </c>
      <c r="G47" s="15">
        <v>50</v>
      </c>
      <c r="H47" s="16">
        <v>1</v>
      </c>
      <c r="I47" s="15"/>
      <c r="J47" s="17" t="s">
        <v>24</v>
      </c>
      <c r="K47" s="15">
        <v>400</v>
      </c>
      <c r="L47" s="14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47" s="15"/>
      <c r="N47" s="14" t="str">
        <f>""</f>
        <v/>
      </c>
    </row>
    <row r="48" spans="1:14" ht="255">
      <c r="A48" s="13" t="s">
        <v>7</v>
      </c>
      <c r="B48" s="14" t="str">
        <f>""</f>
        <v/>
      </c>
      <c r="C48" s="14" t="str">
        <f>""</f>
        <v/>
      </c>
      <c r="D48" s="15"/>
      <c r="E48" s="15">
        <v>50</v>
      </c>
      <c r="F48" s="14" t="str">
        <f>"Общество с ограниченной ответственностью ""ЭЛЕМЕНТ"""</f>
        <v>Общество с ограниченной ответственностью "ЭЛЕМЕНТ"</v>
      </c>
      <c r="G48" s="15"/>
      <c r="H48" s="16"/>
      <c r="I48" s="15"/>
      <c r="J48" s="17" t="s">
        <v>25</v>
      </c>
      <c r="K48" s="15">
        <v>66.34</v>
      </c>
      <c r="L48" s="14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48" s="15"/>
      <c r="N48" s="14" t="str">
        <f>""</f>
        <v/>
      </c>
    </row>
    <row r="49" spans="1:14" ht="25.5">
      <c r="A49" s="13" t="s">
        <v>7</v>
      </c>
      <c r="B49" s="14" t="str">
        <f>""</f>
        <v/>
      </c>
      <c r="C49" s="14" t="str">
        <f>""</f>
        <v/>
      </c>
      <c r="D49" s="15"/>
      <c r="E49" s="15">
        <v>50</v>
      </c>
      <c r="F49" s="14" t="str">
        <f>"ООО ""БЛиК"""</f>
        <v>ООО "БЛиК"</v>
      </c>
      <c r="G49" s="15"/>
      <c r="H49" s="16"/>
      <c r="I49" s="15"/>
      <c r="J49" s="17"/>
      <c r="K49" s="15"/>
      <c r="L49" s="14" t="str">
        <f>""</f>
        <v/>
      </c>
      <c r="M49" s="15"/>
      <c r="N49" s="14" t="str">
        <f>""</f>
        <v/>
      </c>
    </row>
    <row r="50" spans="1:14" ht="38.25">
      <c r="A50" s="13" t="s">
        <v>7</v>
      </c>
      <c r="B50" s="14" t="str">
        <f>""</f>
        <v/>
      </c>
      <c r="C50" s="14" t="str">
        <f>""</f>
        <v/>
      </c>
      <c r="D50" s="15"/>
      <c r="E50" s="15">
        <v>50</v>
      </c>
      <c r="F50" s="14" t="str">
        <f>"ООО ""Ламор-Югра"""</f>
        <v>ООО "Ламор-Югра"</v>
      </c>
      <c r="G50" s="15"/>
      <c r="H50" s="16"/>
      <c r="I50" s="15"/>
      <c r="J50" s="17"/>
      <c r="K50" s="15"/>
      <c r="L50" s="14" t="str">
        <f>""</f>
        <v/>
      </c>
      <c r="M50" s="15"/>
      <c r="N50" s="14" t="str">
        <f>""</f>
        <v/>
      </c>
    </row>
    <row r="51" spans="1:14" ht="38.25">
      <c r="A51" s="13" t="s">
        <v>7</v>
      </c>
      <c r="B51" s="14" t="str">
        <f>""</f>
        <v/>
      </c>
      <c r="C51" s="14" t="str">
        <f>""</f>
        <v/>
      </c>
      <c r="D51" s="15"/>
      <c r="E51" s="15">
        <v>50</v>
      </c>
      <c r="F51" s="14" t="str">
        <f>"ООО ""РемСервис"""</f>
        <v>ООО "РемСервис"</v>
      </c>
      <c r="G51" s="15"/>
      <c r="H51" s="16"/>
      <c r="I51" s="15"/>
      <c r="J51" s="17"/>
      <c r="K51" s="15"/>
      <c r="L51" s="14" t="str">
        <f>""</f>
        <v/>
      </c>
      <c r="M51" s="15"/>
      <c r="N51" s="14" t="str">
        <f>""</f>
        <v/>
      </c>
    </row>
    <row r="52" spans="1:14" ht="38.25">
      <c r="A52" s="13" t="s">
        <v>7</v>
      </c>
      <c r="B52" s="14" t="str">
        <f>""</f>
        <v/>
      </c>
      <c r="C52" s="14" t="str">
        <f>""</f>
        <v/>
      </c>
      <c r="D52" s="15"/>
      <c r="E52" s="15">
        <v>50</v>
      </c>
      <c r="F52" s="14" t="str">
        <f>"ООО ""СеверЭкоСервис"""</f>
        <v>ООО "СеверЭкоСервис"</v>
      </c>
      <c r="G52" s="15"/>
      <c r="H52" s="16"/>
      <c r="I52" s="15"/>
      <c r="J52" s="17"/>
      <c r="K52" s="15"/>
      <c r="L52" s="14" t="str">
        <f>""</f>
        <v/>
      </c>
      <c r="M52" s="15"/>
      <c r="N52" s="14" t="str">
        <f>""</f>
        <v/>
      </c>
    </row>
    <row r="53" spans="1:14" ht="38.25">
      <c r="A53" s="13" t="s">
        <v>7</v>
      </c>
      <c r="B53" s="14" t="str">
        <f>""</f>
        <v/>
      </c>
      <c r="C53" s="14" t="str">
        <f>""</f>
        <v/>
      </c>
      <c r="D53" s="15"/>
      <c r="E53" s="15">
        <v>50</v>
      </c>
      <c r="F53" s="14" t="str">
        <f>"ООО ""СпецСервис"""</f>
        <v>ООО "СпецСервис"</v>
      </c>
      <c r="G53" s="15"/>
      <c r="H53" s="16"/>
      <c r="I53" s="15"/>
      <c r="J53" s="17"/>
      <c r="K53" s="15"/>
      <c r="L53" s="14" t="str">
        <f>""</f>
        <v/>
      </c>
      <c r="M53" s="15"/>
      <c r="N53" s="14" t="str">
        <f>""</f>
        <v/>
      </c>
    </row>
    <row r="54" spans="1:14" ht="293.25">
      <c r="A54" s="13" t="s">
        <v>7</v>
      </c>
      <c r="B54" s="14" t="str">
        <f>""</f>
        <v/>
      </c>
      <c r="C54" s="14" t="str">
        <f>""</f>
        <v/>
      </c>
      <c r="D54" s="15"/>
      <c r="E54" s="15">
        <v>50</v>
      </c>
      <c r="F54" s="14" t="str">
        <f>"ООО СТРОИТЕЛЬНАЯ КОМПАНИЯ ""ЮВ И С"" р/с 40702810724240000762 в ФИЛИАЛ ПАО ""БАНК УРАЛСИБ"" В Г. ЕКАТЕРИНБУРГ Г ЕКАТЕРИНБУРГ в ПАО БАНК УРАЛСИБ г. МОСКВА"</f>
        <v>ООО СТРОИТЕЛЬНАЯ КОМПАНИЯ "ЮВ И С" р/с 40702810724240000762 в ФИЛИАЛ ПАО "БАНК УРАЛСИБ" В Г. ЕКАТЕРИНБУРГ Г ЕКАТЕРИНБУРГ в ПАО БАНК УРАЛСИБ г. МОСКВА</v>
      </c>
      <c r="G54" s="15"/>
      <c r="H54" s="16"/>
      <c r="I54" s="15"/>
      <c r="J54" s="17"/>
      <c r="K54" s="15"/>
      <c r="L54" s="14" t="str">
        <f>""</f>
        <v/>
      </c>
      <c r="M54" s="15"/>
      <c r="N54" s="14" t="str">
        <f>""</f>
        <v/>
      </c>
    </row>
    <row r="55" spans="1:14" ht="38.25">
      <c r="A55" s="13" t="s">
        <v>7</v>
      </c>
      <c r="B55" s="14" t="str">
        <f>""</f>
        <v/>
      </c>
      <c r="C55" s="14" t="str">
        <f>""</f>
        <v/>
      </c>
      <c r="D55" s="15"/>
      <c r="E55" s="15">
        <v>50</v>
      </c>
      <c r="F55" s="14" t="str">
        <f>"ООО ""ТехМаш"""</f>
        <v>ООО "ТехМаш"</v>
      </c>
      <c r="G55" s="15"/>
      <c r="H55" s="16"/>
      <c r="I55" s="15"/>
      <c r="J55" s="17"/>
      <c r="K55" s="15"/>
      <c r="L55" s="14" t="str">
        <f>""</f>
        <v/>
      </c>
      <c r="M55" s="15"/>
      <c r="N55" s="14" t="str">
        <f>""</f>
        <v/>
      </c>
    </row>
    <row r="56" spans="1:14" ht="25.5">
      <c r="A56" s="13" t="s">
        <v>7</v>
      </c>
      <c r="B56" s="14" t="str">
        <f>""</f>
        <v/>
      </c>
      <c r="C56" s="14" t="str">
        <f>""</f>
        <v/>
      </c>
      <c r="D56" s="15"/>
      <c r="E56" s="15">
        <v>50</v>
      </c>
      <c r="F56" s="14" t="str">
        <f>"ООО ""Экотон"""</f>
        <v>ООО "Экотон"</v>
      </c>
      <c r="G56" s="15"/>
      <c r="H56" s="16"/>
      <c r="I56" s="15"/>
      <c r="J56" s="17"/>
      <c r="K56" s="15"/>
      <c r="L56" s="14" t="str">
        <f>""</f>
        <v/>
      </c>
      <c r="M56" s="15"/>
      <c r="N56" s="14" t="str">
        <f>""</f>
        <v/>
      </c>
    </row>
    <row r="57" spans="1:14">
      <c r="A57" s="12" t="s">
        <v>7</v>
      </c>
      <c r="B57" s="18" t="str">
        <f>""</f>
        <v/>
      </c>
      <c r="C57" s="18" t="str">
        <f>"Итого по кандидату"</f>
        <v>Итого по кандидату</v>
      </c>
      <c r="D57" s="19">
        <v>550</v>
      </c>
      <c r="E57" s="19">
        <v>500</v>
      </c>
      <c r="F57" s="18" t="str">
        <f>""</f>
        <v/>
      </c>
      <c r="G57" s="19">
        <v>50</v>
      </c>
      <c r="H57" s="20"/>
      <c r="I57" s="19">
        <v>500</v>
      </c>
      <c r="J57" s="21"/>
      <c r="K57" s="19">
        <v>466.34</v>
      </c>
      <c r="L57" s="18" t="str">
        <f>""</f>
        <v/>
      </c>
      <c r="M57" s="19">
        <v>0</v>
      </c>
      <c r="N57" s="18" t="str">
        <f>""</f>
        <v/>
      </c>
    </row>
    <row r="58" spans="1:14" ht="25.5">
      <c r="A58" s="12" t="s">
        <v>7</v>
      </c>
      <c r="B58" s="18" t="str">
        <f>""</f>
        <v/>
      </c>
      <c r="C58" s="18" t="str">
        <f>"Избирательный округ (Округ №12 (№ 12)), всего"</f>
        <v>Избирательный округ (Округ №12 (№ 12)), всего</v>
      </c>
      <c r="D58" s="19">
        <v>563.25</v>
      </c>
      <c r="E58" s="19">
        <v>500</v>
      </c>
      <c r="F58" s="18" t="str">
        <f>""</f>
        <v/>
      </c>
      <c r="G58" s="19">
        <v>50</v>
      </c>
      <c r="H58" s="20"/>
      <c r="I58" s="19">
        <v>513.25</v>
      </c>
      <c r="J58" s="21"/>
      <c r="K58" s="19">
        <v>466.34</v>
      </c>
      <c r="L58" s="18" t="str">
        <f>""</f>
        <v/>
      </c>
      <c r="M58" s="19">
        <v>0</v>
      </c>
      <c r="N58" s="18" t="str">
        <f>""</f>
        <v/>
      </c>
    </row>
    <row r="59" spans="1:14">
      <c r="A59" s="13" t="s">
        <v>26</v>
      </c>
      <c r="B59" s="14" t="str">
        <f>"Округ №13 (№ 13)"</f>
        <v>Округ №13 (№ 13)</v>
      </c>
      <c r="C59" s="14" t="str">
        <f>"Галиев Рафаэль Флоритович"</f>
        <v>Галиев Рафаэль Флоритович</v>
      </c>
      <c r="D59" s="15">
        <v>31.5</v>
      </c>
      <c r="E59" s="15"/>
      <c r="F59" s="14" t="str">
        <f>""</f>
        <v/>
      </c>
      <c r="G59" s="15"/>
      <c r="H59" s="16"/>
      <c r="I59" s="15">
        <v>31.5</v>
      </c>
      <c r="J59" s="17"/>
      <c r="K59" s="15"/>
      <c r="L59" s="14" t="str">
        <f>""</f>
        <v/>
      </c>
      <c r="M59" s="15"/>
      <c r="N59" s="14" t="str">
        <f>""</f>
        <v/>
      </c>
    </row>
    <row r="60" spans="1:14">
      <c r="A60" s="12" t="s">
        <v>7</v>
      </c>
      <c r="B60" s="18" t="str">
        <f>""</f>
        <v/>
      </c>
      <c r="C60" s="18" t="str">
        <f>"Итого по кандидату"</f>
        <v>Итого по кандидату</v>
      </c>
      <c r="D60" s="19">
        <v>31.5</v>
      </c>
      <c r="E60" s="19">
        <v>0</v>
      </c>
      <c r="F60" s="18" t="str">
        <f>""</f>
        <v/>
      </c>
      <c r="G60" s="19">
        <v>0</v>
      </c>
      <c r="H60" s="20"/>
      <c r="I60" s="19">
        <v>31.5</v>
      </c>
      <c r="J60" s="21"/>
      <c r="K60" s="19">
        <v>0</v>
      </c>
      <c r="L60" s="18" t="str">
        <f>""</f>
        <v/>
      </c>
      <c r="M60" s="19">
        <v>0</v>
      </c>
      <c r="N60" s="18" t="str">
        <f>""</f>
        <v/>
      </c>
    </row>
    <row r="61" spans="1:14">
      <c r="A61" s="13" t="s">
        <v>27</v>
      </c>
      <c r="B61" s="14" t="str">
        <f>"Округ №13 (№ 13)"</f>
        <v>Округ №13 (№ 13)</v>
      </c>
      <c r="C61" s="14" t="str">
        <f>"Загаевский Георгий Анатольевич"</f>
        <v>Загаевский Георгий Анатольевич</v>
      </c>
      <c r="D61" s="15">
        <v>0.3</v>
      </c>
      <c r="E61" s="15"/>
      <c r="F61" s="14" t="str">
        <f>""</f>
        <v/>
      </c>
      <c r="G61" s="15"/>
      <c r="H61" s="16"/>
      <c r="I61" s="15">
        <v>0.3</v>
      </c>
      <c r="J61" s="17"/>
      <c r="K61" s="15"/>
      <c r="L61" s="14" t="str">
        <f>""</f>
        <v/>
      </c>
      <c r="M61" s="15"/>
      <c r="N61" s="14" t="str">
        <f>""</f>
        <v/>
      </c>
    </row>
    <row r="62" spans="1:14">
      <c r="A62" s="12" t="s">
        <v>7</v>
      </c>
      <c r="B62" s="18" t="str">
        <f>""</f>
        <v/>
      </c>
      <c r="C62" s="18" t="str">
        <f>"Итого по кандидату"</f>
        <v>Итого по кандидату</v>
      </c>
      <c r="D62" s="19">
        <v>0.3</v>
      </c>
      <c r="E62" s="19">
        <v>0</v>
      </c>
      <c r="F62" s="18" t="str">
        <f>""</f>
        <v/>
      </c>
      <c r="G62" s="19">
        <v>0</v>
      </c>
      <c r="H62" s="20"/>
      <c r="I62" s="19">
        <v>0.3</v>
      </c>
      <c r="J62" s="21"/>
      <c r="K62" s="19">
        <v>0</v>
      </c>
      <c r="L62" s="18" t="str">
        <f>""</f>
        <v/>
      </c>
      <c r="M62" s="19">
        <v>0</v>
      </c>
      <c r="N62" s="18" t="str">
        <f>""</f>
        <v/>
      </c>
    </row>
    <row r="63" spans="1:14" ht="25.5">
      <c r="A63" s="12" t="s">
        <v>7</v>
      </c>
      <c r="B63" s="18" t="str">
        <f>""</f>
        <v/>
      </c>
      <c r="C63" s="18" t="str">
        <f>"Избирательный округ (Округ №13 (№ 13)), всего"</f>
        <v>Избирательный округ (Округ №13 (№ 13)), всего</v>
      </c>
      <c r="D63" s="19">
        <v>31.8</v>
      </c>
      <c r="E63" s="19">
        <v>0</v>
      </c>
      <c r="F63" s="18" t="str">
        <f>""</f>
        <v/>
      </c>
      <c r="G63" s="19">
        <v>0</v>
      </c>
      <c r="H63" s="20"/>
      <c r="I63" s="19">
        <v>31.8</v>
      </c>
      <c r="J63" s="21"/>
      <c r="K63" s="19">
        <v>0</v>
      </c>
      <c r="L63" s="18" t="str">
        <f>""</f>
        <v/>
      </c>
      <c r="M63" s="19">
        <v>0</v>
      </c>
      <c r="N63" s="18" t="str">
        <f>""</f>
        <v/>
      </c>
    </row>
    <row r="64" spans="1:14">
      <c r="A64" s="13" t="s">
        <v>28</v>
      </c>
      <c r="B64" s="14" t="str">
        <f>"Округ №14 (№ 14)"</f>
        <v>Округ №14 (№ 14)</v>
      </c>
      <c r="C64" s="14" t="str">
        <f>"Баратов Мирбород Абидович"</f>
        <v>Баратов Мирбород Абидович</v>
      </c>
      <c r="D64" s="15">
        <v>0.3</v>
      </c>
      <c r="E64" s="15"/>
      <c r="F64" s="14" t="str">
        <f>""</f>
        <v/>
      </c>
      <c r="G64" s="15"/>
      <c r="H64" s="16"/>
      <c r="I64" s="15">
        <v>0.3</v>
      </c>
      <c r="J64" s="17"/>
      <c r="K64" s="15"/>
      <c r="L64" s="14" t="str">
        <f>""</f>
        <v/>
      </c>
      <c r="M64" s="15"/>
      <c r="N64" s="14" t="str">
        <f>""</f>
        <v/>
      </c>
    </row>
    <row r="65" spans="1:14">
      <c r="A65" s="12" t="s">
        <v>7</v>
      </c>
      <c r="B65" s="18" t="str">
        <f>""</f>
        <v/>
      </c>
      <c r="C65" s="18" t="str">
        <f>"Итого по кандидату"</f>
        <v>Итого по кандидату</v>
      </c>
      <c r="D65" s="19">
        <v>0.3</v>
      </c>
      <c r="E65" s="19">
        <v>0</v>
      </c>
      <c r="F65" s="18" t="str">
        <f>""</f>
        <v/>
      </c>
      <c r="G65" s="19">
        <v>0</v>
      </c>
      <c r="H65" s="20"/>
      <c r="I65" s="19">
        <v>0.3</v>
      </c>
      <c r="J65" s="21"/>
      <c r="K65" s="19">
        <v>0</v>
      </c>
      <c r="L65" s="18" t="str">
        <f>""</f>
        <v/>
      </c>
      <c r="M65" s="19">
        <v>0</v>
      </c>
      <c r="N65" s="18" t="str">
        <f>""</f>
        <v/>
      </c>
    </row>
    <row r="66" spans="1:14">
      <c r="A66" s="13" t="s">
        <v>29</v>
      </c>
      <c r="B66" s="14" t="str">
        <f>"Округ №14 (№ 14)"</f>
        <v>Округ №14 (№ 14)</v>
      </c>
      <c r="C66" s="14" t="str">
        <f>"Бугай Эльвира Хакимьяновна"</f>
        <v>Бугай Эльвира Хакимьяновна</v>
      </c>
      <c r="D66" s="15">
        <v>51.5</v>
      </c>
      <c r="E66" s="15"/>
      <c r="F66" s="14" t="str">
        <f>""</f>
        <v/>
      </c>
      <c r="G66" s="15"/>
      <c r="H66" s="16"/>
      <c r="I66" s="15">
        <v>51.5</v>
      </c>
      <c r="J66" s="17"/>
      <c r="K66" s="15"/>
      <c r="L66" s="14" t="str">
        <f>""</f>
        <v/>
      </c>
      <c r="M66" s="15"/>
      <c r="N66" s="14" t="str">
        <f>""</f>
        <v/>
      </c>
    </row>
    <row r="67" spans="1:14">
      <c r="A67" s="12" t="s">
        <v>7</v>
      </c>
      <c r="B67" s="18" t="str">
        <f>""</f>
        <v/>
      </c>
      <c r="C67" s="18" t="str">
        <f>"Итого по кандидату"</f>
        <v>Итого по кандидату</v>
      </c>
      <c r="D67" s="19">
        <v>51.5</v>
      </c>
      <c r="E67" s="19">
        <v>0</v>
      </c>
      <c r="F67" s="18" t="str">
        <f>""</f>
        <v/>
      </c>
      <c r="G67" s="19">
        <v>0</v>
      </c>
      <c r="H67" s="20"/>
      <c r="I67" s="19">
        <v>51.5</v>
      </c>
      <c r="J67" s="21"/>
      <c r="K67" s="19">
        <v>0</v>
      </c>
      <c r="L67" s="18" t="str">
        <f>""</f>
        <v/>
      </c>
      <c r="M67" s="19">
        <v>0</v>
      </c>
      <c r="N67" s="18" t="str">
        <f>""</f>
        <v/>
      </c>
    </row>
    <row r="68" spans="1:14">
      <c r="A68" s="13" t="s">
        <v>30</v>
      </c>
      <c r="B68" s="14" t="str">
        <f>"Округ №14 (№ 14)"</f>
        <v>Округ №14 (№ 14)</v>
      </c>
      <c r="C68" s="14" t="str">
        <f>"Черных Константин Сергеевич"</f>
        <v>Черных Константин Сергеевич</v>
      </c>
      <c r="D68" s="15">
        <v>0.3</v>
      </c>
      <c r="E68" s="15"/>
      <c r="F68" s="14" t="str">
        <f>""</f>
        <v/>
      </c>
      <c r="G68" s="15"/>
      <c r="H68" s="16"/>
      <c r="I68" s="15">
        <v>0.3</v>
      </c>
      <c r="J68" s="17"/>
      <c r="K68" s="15"/>
      <c r="L68" s="14" t="str">
        <f>""</f>
        <v/>
      </c>
      <c r="M68" s="15"/>
      <c r="N68" s="14" t="str">
        <f>""</f>
        <v/>
      </c>
    </row>
    <row r="69" spans="1:14">
      <c r="A69" s="12" t="s">
        <v>7</v>
      </c>
      <c r="B69" s="18" t="str">
        <f>""</f>
        <v/>
      </c>
      <c r="C69" s="18" t="str">
        <f>"Итого по кандидату"</f>
        <v>Итого по кандидату</v>
      </c>
      <c r="D69" s="19">
        <v>0.3</v>
      </c>
      <c r="E69" s="19">
        <v>0</v>
      </c>
      <c r="F69" s="18" t="str">
        <f>""</f>
        <v/>
      </c>
      <c r="G69" s="19">
        <v>0</v>
      </c>
      <c r="H69" s="20"/>
      <c r="I69" s="19">
        <v>0.3</v>
      </c>
      <c r="J69" s="21"/>
      <c r="K69" s="19">
        <v>0</v>
      </c>
      <c r="L69" s="18" t="str">
        <f>""</f>
        <v/>
      </c>
      <c r="M69" s="19">
        <v>0</v>
      </c>
      <c r="N69" s="18" t="str">
        <f>""</f>
        <v/>
      </c>
    </row>
    <row r="70" spans="1:14" ht="25.5">
      <c r="A70" s="12" t="s">
        <v>7</v>
      </c>
      <c r="B70" s="18" t="str">
        <f>""</f>
        <v/>
      </c>
      <c r="C70" s="18" t="str">
        <f>"Избирательный округ (Округ №14 (№ 14)), всего"</f>
        <v>Избирательный округ (Округ №14 (№ 14)), всего</v>
      </c>
      <c r="D70" s="19">
        <v>52.1</v>
      </c>
      <c r="E70" s="19">
        <v>0</v>
      </c>
      <c r="F70" s="18" t="str">
        <f>""</f>
        <v/>
      </c>
      <c r="G70" s="19">
        <v>0</v>
      </c>
      <c r="H70" s="20"/>
      <c r="I70" s="19">
        <v>52.1</v>
      </c>
      <c r="J70" s="21"/>
      <c r="K70" s="19">
        <v>0</v>
      </c>
      <c r="L70" s="18" t="str">
        <f>""</f>
        <v/>
      </c>
      <c r="M70" s="19">
        <v>0</v>
      </c>
      <c r="N70" s="18" t="str">
        <f>""</f>
        <v/>
      </c>
    </row>
    <row r="71" spans="1:14">
      <c r="A71" s="13" t="s">
        <v>31</v>
      </c>
      <c r="B71" s="14" t="str">
        <f>"Округ №15 (№ 15)"</f>
        <v>Округ №15 (№ 15)</v>
      </c>
      <c r="C71" s="14" t="str">
        <f>"Болотов Александр Александрович"</f>
        <v>Болотов Александр Александрович</v>
      </c>
      <c r="D71" s="15">
        <v>0.3</v>
      </c>
      <c r="E71" s="15"/>
      <c r="F71" s="14" t="str">
        <f>""</f>
        <v/>
      </c>
      <c r="G71" s="15"/>
      <c r="H71" s="16"/>
      <c r="I71" s="15">
        <v>0.3</v>
      </c>
      <c r="J71" s="17"/>
      <c r="K71" s="15"/>
      <c r="L71" s="14" t="str">
        <f>""</f>
        <v/>
      </c>
      <c r="M71" s="15"/>
      <c r="N71" s="14" t="str">
        <f>""</f>
        <v/>
      </c>
    </row>
    <row r="72" spans="1:14">
      <c r="A72" s="12" t="s">
        <v>7</v>
      </c>
      <c r="B72" s="18" t="str">
        <f>""</f>
        <v/>
      </c>
      <c r="C72" s="18" t="str">
        <f>"Итого по кандидату"</f>
        <v>Итого по кандидату</v>
      </c>
      <c r="D72" s="19">
        <v>0.3</v>
      </c>
      <c r="E72" s="19">
        <v>0</v>
      </c>
      <c r="F72" s="18" t="str">
        <f>""</f>
        <v/>
      </c>
      <c r="G72" s="19">
        <v>0</v>
      </c>
      <c r="H72" s="20"/>
      <c r="I72" s="19">
        <v>0.3</v>
      </c>
      <c r="J72" s="21"/>
      <c r="K72" s="19">
        <v>0</v>
      </c>
      <c r="L72" s="18" t="str">
        <f>""</f>
        <v/>
      </c>
      <c r="M72" s="19">
        <v>0</v>
      </c>
      <c r="N72" s="18" t="str">
        <f>""</f>
        <v/>
      </c>
    </row>
    <row r="73" spans="1:14">
      <c r="A73" s="13" t="s">
        <v>32</v>
      </c>
      <c r="B73" s="14" t="str">
        <f>"Округ №15 (№ 15)"</f>
        <v>Округ №15 (№ 15)</v>
      </c>
      <c r="C73" s="14" t="str">
        <f>"Шарипов Руслан Наильевич"</f>
        <v>Шарипов Руслан Наильевич</v>
      </c>
      <c r="D73" s="15">
        <v>80.5</v>
      </c>
      <c r="E73" s="15"/>
      <c r="F73" s="14" t="str">
        <f>""</f>
        <v/>
      </c>
      <c r="G73" s="15"/>
      <c r="H73" s="16"/>
      <c r="I73" s="15">
        <v>80.44</v>
      </c>
      <c r="J73" s="17"/>
      <c r="K73" s="15"/>
      <c r="L73" s="14" t="str">
        <f>""</f>
        <v/>
      </c>
      <c r="M73" s="15"/>
      <c r="N73" s="14" t="str">
        <f>""</f>
        <v/>
      </c>
    </row>
    <row r="74" spans="1:14">
      <c r="A74" s="12" t="s">
        <v>7</v>
      </c>
      <c r="B74" s="18" t="str">
        <f>""</f>
        <v/>
      </c>
      <c r="C74" s="18" t="str">
        <f>"Итого по кандидату"</f>
        <v>Итого по кандидату</v>
      </c>
      <c r="D74" s="19">
        <v>80.5</v>
      </c>
      <c r="E74" s="19">
        <v>0</v>
      </c>
      <c r="F74" s="18" t="str">
        <f>""</f>
        <v/>
      </c>
      <c r="G74" s="19">
        <v>0</v>
      </c>
      <c r="H74" s="20"/>
      <c r="I74" s="19">
        <v>80.44</v>
      </c>
      <c r="J74" s="21"/>
      <c r="K74" s="19">
        <v>0</v>
      </c>
      <c r="L74" s="18" t="str">
        <f>""</f>
        <v/>
      </c>
      <c r="M74" s="19">
        <v>0</v>
      </c>
      <c r="N74" s="18" t="str">
        <f>""</f>
        <v/>
      </c>
    </row>
    <row r="75" spans="1:14" ht="25.5">
      <c r="A75" s="12" t="s">
        <v>7</v>
      </c>
      <c r="B75" s="18" t="str">
        <f>""</f>
        <v/>
      </c>
      <c r="C75" s="18" t="str">
        <f>"Избирательный округ (Округ №15 (№ 15)), всего"</f>
        <v>Избирательный округ (Округ №15 (№ 15)), всего</v>
      </c>
      <c r="D75" s="19">
        <v>80.8</v>
      </c>
      <c r="E75" s="19">
        <v>0</v>
      </c>
      <c r="F75" s="18" t="str">
        <f>""</f>
        <v/>
      </c>
      <c r="G75" s="19">
        <v>0</v>
      </c>
      <c r="H75" s="20"/>
      <c r="I75" s="19">
        <v>80.739999999999995</v>
      </c>
      <c r="J75" s="21"/>
      <c r="K75" s="19">
        <v>0</v>
      </c>
      <c r="L75" s="18" t="str">
        <f>""</f>
        <v/>
      </c>
      <c r="M75" s="19">
        <v>0</v>
      </c>
      <c r="N75" s="18" t="str">
        <f>""</f>
        <v/>
      </c>
    </row>
    <row r="76" spans="1:14">
      <c r="A76" s="13" t="s">
        <v>33</v>
      </c>
      <c r="B76" s="14" t="str">
        <f>"Округ №16 (№ 16)"</f>
        <v>Округ №16 (№ 16)</v>
      </c>
      <c r="C76" s="14" t="str">
        <f>"Савурко Юрий Владимирович"</f>
        <v>Савурко Юрий Владимирович</v>
      </c>
      <c r="D76" s="15">
        <v>75.2</v>
      </c>
      <c r="E76" s="15"/>
      <c r="F76" s="14" t="str">
        <f>""</f>
        <v/>
      </c>
      <c r="G76" s="15"/>
      <c r="H76" s="16"/>
      <c r="I76" s="15">
        <v>73.5</v>
      </c>
      <c r="J76" s="17"/>
      <c r="K76" s="15"/>
      <c r="L76" s="14" t="str">
        <f>""</f>
        <v/>
      </c>
      <c r="M76" s="15"/>
      <c r="N76" s="14" t="str">
        <f>""</f>
        <v/>
      </c>
    </row>
    <row r="77" spans="1:14">
      <c r="A77" s="12" t="s">
        <v>7</v>
      </c>
      <c r="B77" s="18" t="str">
        <f>""</f>
        <v/>
      </c>
      <c r="C77" s="18" t="str">
        <f>"Итого по кандидату"</f>
        <v>Итого по кандидату</v>
      </c>
      <c r="D77" s="19">
        <v>75.2</v>
      </c>
      <c r="E77" s="19">
        <v>0</v>
      </c>
      <c r="F77" s="18" t="str">
        <f>""</f>
        <v/>
      </c>
      <c r="G77" s="19">
        <v>0</v>
      </c>
      <c r="H77" s="20"/>
      <c r="I77" s="19">
        <v>73.5</v>
      </c>
      <c r="J77" s="21"/>
      <c r="K77" s="19">
        <v>0</v>
      </c>
      <c r="L77" s="18" t="str">
        <f>""</f>
        <v/>
      </c>
      <c r="M77" s="19">
        <v>0</v>
      </c>
      <c r="N77" s="18" t="str">
        <f>""</f>
        <v/>
      </c>
    </row>
    <row r="78" spans="1:14">
      <c r="A78" s="13" t="s">
        <v>34</v>
      </c>
      <c r="B78" s="14" t="str">
        <f>"Округ №16 (№ 16)"</f>
        <v>Округ №16 (№ 16)</v>
      </c>
      <c r="C78" s="14" t="str">
        <f>"Цыбулько Николай Ефимович"</f>
        <v>Цыбулько Николай Ефимович</v>
      </c>
      <c r="D78" s="15">
        <v>2.1</v>
      </c>
      <c r="E78" s="15"/>
      <c r="F78" s="14" t="str">
        <f>""</f>
        <v/>
      </c>
      <c r="G78" s="15"/>
      <c r="H78" s="16"/>
      <c r="I78" s="15">
        <v>2.1</v>
      </c>
      <c r="J78" s="17"/>
      <c r="K78" s="15"/>
      <c r="L78" s="14" t="str">
        <f>""</f>
        <v/>
      </c>
      <c r="M78" s="15"/>
      <c r="N78" s="14" t="str">
        <f>""</f>
        <v/>
      </c>
    </row>
    <row r="79" spans="1:14">
      <c r="A79" s="12" t="s">
        <v>7</v>
      </c>
      <c r="B79" s="18" t="str">
        <f>""</f>
        <v/>
      </c>
      <c r="C79" s="18" t="str">
        <f>"Итого по кандидату"</f>
        <v>Итого по кандидату</v>
      </c>
      <c r="D79" s="19">
        <v>2.1</v>
      </c>
      <c r="E79" s="19">
        <v>0</v>
      </c>
      <c r="F79" s="18" t="str">
        <f>""</f>
        <v/>
      </c>
      <c r="G79" s="19">
        <v>0</v>
      </c>
      <c r="H79" s="20"/>
      <c r="I79" s="19">
        <v>2.1</v>
      </c>
      <c r="J79" s="21"/>
      <c r="K79" s="19">
        <v>0</v>
      </c>
      <c r="L79" s="18" t="str">
        <f>""</f>
        <v/>
      </c>
      <c r="M79" s="19">
        <v>0</v>
      </c>
      <c r="N79" s="18" t="str">
        <f>""</f>
        <v/>
      </c>
    </row>
    <row r="80" spans="1:14" ht="25.5">
      <c r="A80" s="12" t="s">
        <v>7</v>
      </c>
      <c r="B80" s="18" t="str">
        <f>""</f>
        <v/>
      </c>
      <c r="C80" s="18" t="str">
        <f>"Избирательный округ (Округ №16 (№ 16)), всего"</f>
        <v>Избирательный округ (Округ №16 (№ 16)), всего</v>
      </c>
      <c r="D80" s="19">
        <v>77.3</v>
      </c>
      <c r="E80" s="19">
        <v>0</v>
      </c>
      <c r="F80" s="18" t="str">
        <f>""</f>
        <v/>
      </c>
      <c r="G80" s="19">
        <v>0</v>
      </c>
      <c r="H80" s="20"/>
      <c r="I80" s="19">
        <v>75.599999999999994</v>
      </c>
      <c r="J80" s="21"/>
      <c r="K80" s="19">
        <v>0</v>
      </c>
      <c r="L80" s="18" t="str">
        <f>""</f>
        <v/>
      </c>
      <c r="M80" s="19">
        <v>0</v>
      </c>
      <c r="N80" s="18" t="str">
        <f>""</f>
        <v/>
      </c>
    </row>
    <row r="81" spans="1:14">
      <c r="A81" s="13" t="s">
        <v>35</v>
      </c>
      <c r="B81" s="14" t="str">
        <f>"Округ №17 (№ 17)"</f>
        <v>Округ №17 (№ 17)</v>
      </c>
      <c r="C81" s="14" t="str">
        <f>"Архипова Елена Сергеевна"</f>
        <v>Архипова Елена Сергеевна</v>
      </c>
      <c r="D81" s="15">
        <v>3.45</v>
      </c>
      <c r="E81" s="15"/>
      <c r="F81" s="14" t="str">
        <f>""</f>
        <v/>
      </c>
      <c r="G81" s="15"/>
      <c r="H81" s="16"/>
      <c r="I81" s="15">
        <v>3.45</v>
      </c>
      <c r="J81" s="17"/>
      <c r="K81" s="15"/>
      <c r="L81" s="14" t="str">
        <f>""</f>
        <v/>
      </c>
      <c r="M81" s="15"/>
      <c r="N81" s="14" t="str">
        <f>""</f>
        <v/>
      </c>
    </row>
    <row r="82" spans="1:14">
      <c r="A82" s="12" t="s">
        <v>7</v>
      </c>
      <c r="B82" s="18" t="str">
        <f>""</f>
        <v/>
      </c>
      <c r="C82" s="18" t="str">
        <f>"Итого по кандидату"</f>
        <v>Итого по кандидату</v>
      </c>
      <c r="D82" s="19">
        <v>3.45</v>
      </c>
      <c r="E82" s="19">
        <v>0</v>
      </c>
      <c r="F82" s="18" t="str">
        <f>""</f>
        <v/>
      </c>
      <c r="G82" s="19">
        <v>0</v>
      </c>
      <c r="H82" s="20"/>
      <c r="I82" s="19">
        <v>3.45</v>
      </c>
      <c r="J82" s="21"/>
      <c r="K82" s="19">
        <v>0</v>
      </c>
      <c r="L82" s="18" t="str">
        <f>""</f>
        <v/>
      </c>
      <c r="M82" s="19">
        <v>0</v>
      </c>
      <c r="N82" s="18" t="str">
        <f>""</f>
        <v/>
      </c>
    </row>
    <row r="83" spans="1:14" ht="25.5">
      <c r="A83" s="12" t="s">
        <v>7</v>
      </c>
      <c r="B83" s="18" t="str">
        <f>""</f>
        <v/>
      </c>
      <c r="C83" s="18" t="str">
        <f>"Избирательный округ (Округ №17 (№ 17)), всего"</f>
        <v>Избирательный округ (Округ №17 (№ 17)), всего</v>
      </c>
      <c r="D83" s="19">
        <v>3.45</v>
      </c>
      <c r="E83" s="19">
        <v>0</v>
      </c>
      <c r="F83" s="18" t="str">
        <f>""</f>
        <v/>
      </c>
      <c r="G83" s="19">
        <v>0</v>
      </c>
      <c r="H83" s="20"/>
      <c r="I83" s="19">
        <v>3.45</v>
      </c>
      <c r="J83" s="21"/>
      <c r="K83" s="19">
        <v>0</v>
      </c>
      <c r="L83" s="18" t="str">
        <f>""</f>
        <v/>
      </c>
      <c r="M83" s="19">
        <v>0</v>
      </c>
      <c r="N83" s="18" t="str">
        <f>""</f>
        <v/>
      </c>
    </row>
    <row r="84" spans="1:14">
      <c r="A84" s="13" t="s">
        <v>36</v>
      </c>
      <c r="B84" s="14" t="str">
        <f>"Округ №18 (№ 18)"</f>
        <v>Округ №18 (№ 18)</v>
      </c>
      <c r="C84" s="14" t="str">
        <f>"Бессонов Александр Иннокентьевич"</f>
        <v>Бессонов Александр Иннокентьевич</v>
      </c>
      <c r="D84" s="15">
        <v>5</v>
      </c>
      <c r="E84" s="15"/>
      <c r="F84" s="14" t="str">
        <f>""</f>
        <v/>
      </c>
      <c r="G84" s="15"/>
      <c r="H84" s="16"/>
      <c r="I84" s="15">
        <v>5</v>
      </c>
      <c r="J84" s="17"/>
      <c r="K84" s="15"/>
      <c r="L84" s="14" t="str">
        <f>""</f>
        <v/>
      </c>
      <c r="M84" s="15"/>
      <c r="N84" s="14" t="str">
        <f>""</f>
        <v/>
      </c>
    </row>
    <row r="85" spans="1:14">
      <c r="A85" s="12" t="s">
        <v>7</v>
      </c>
      <c r="B85" s="18" t="str">
        <f>""</f>
        <v/>
      </c>
      <c r="C85" s="18" t="str">
        <f>"Итого по кандидату"</f>
        <v>Итого по кандидату</v>
      </c>
      <c r="D85" s="19">
        <v>5</v>
      </c>
      <c r="E85" s="19">
        <v>0</v>
      </c>
      <c r="F85" s="18" t="str">
        <f>""</f>
        <v/>
      </c>
      <c r="G85" s="19">
        <v>0</v>
      </c>
      <c r="H85" s="20"/>
      <c r="I85" s="19">
        <v>5</v>
      </c>
      <c r="J85" s="21"/>
      <c r="K85" s="19">
        <v>0</v>
      </c>
      <c r="L85" s="18" t="str">
        <f>""</f>
        <v/>
      </c>
      <c r="M85" s="19">
        <v>0</v>
      </c>
      <c r="N85" s="18" t="str">
        <f>""</f>
        <v/>
      </c>
    </row>
    <row r="86" spans="1:14">
      <c r="A86" s="13" t="s">
        <v>37</v>
      </c>
      <c r="B86" s="14" t="str">
        <f>"Округ №18 (№ 18)"</f>
        <v>Округ №18 (№ 18)</v>
      </c>
      <c r="C86" s="14" t="str">
        <f>"Воробель Дарья Юрьевна"</f>
        <v>Воробель Дарья Юрьевна</v>
      </c>
      <c r="D86" s="15">
        <v>39.5</v>
      </c>
      <c r="E86" s="15"/>
      <c r="F86" s="14" t="str">
        <f>""</f>
        <v/>
      </c>
      <c r="G86" s="15"/>
      <c r="H86" s="16"/>
      <c r="I86" s="15">
        <v>36.31</v>
      </c>
      <c r="J86" s="17"/>
      <c r="K86" s="15"/>
      <c r="L86" s="14" t="str">
        <f>""</f>
        <v/>
      </c>
      <c r="M86" s="15"/>
      <c r="N86" s="14" t="str">
        <f>""</f>
        <v/>
      </c>
    </row>
    <row r="87" spans="1:14">
      <c r="A87" s="12" t="s">
        <v>7</v>
      </c>
      <c r="B87" s="18" t="str">
        <f>""</f>
        <v/>
      </c>
      <c r="C87" s="18" t="str">
        <f>"Итого по кандидату"</f>
        <v>Итого по кандидату</v>
      </c>
      <c r="D87" s="19">
        <v>39.5</v>
      </c>
      <c r="E87" s="19">
        <v>0</v>
      </c>
      <c r="F87" s="18" t="str">
        <f>""</f>
        <v/>
      </c>
      <c r="G87" s="19">
        <v>0</v>
      </c>
      <c r="H87" s="20"/>
      <c r="I87" s="19">
        <v>36.31</v>
      </c>
      <c r="J87" s="21"/>
      <c r="K87" s="19">
        <v>0</v>
      </c>
      <c r="L87" s="18" t="str">
        <f>""</f>
        <v/>
      </c>
      <c r="M87" s="19">
        <v>0</v>
      </c>
      <c r="N87" s="18" t="str">
        <f>""</f>
        <v/>
      </c>
    </row>
    <row r="88" spans="1:14">
      <c r="A88" s="13" t="s">
        <v>38</v>
      </c>
      <c r="B88" s="14" t="str">
        <f>"Округ №18 (№ 18)"</f>
        <v>Округ №18 (№ 18)</v>
      </c>
      <c r="C88" s="14" t="str">
        <f>"Любимова Наталья Николаевна"</f>
        <v>Любимова Наталья Николаевна</v>
      </c>
      <c r="D88" s="15">
        <v>15</v>
      </c>
      <c r="E88" s="15"/>
      <c r="F88" s="14" t="str">
        <f>""</f>
        <v/>
      </c>
      <c r="G88" s="15"/>
      <c r="H88" s="16"/>
      <c r="I88" s="15">
        <v>9.6999999999999993</v>
      </c>
      <c r="J88" s="17"/>
      <c r="K88" s="15"/>
      <c r="L88" s="14" t="str">
        <f>""</f>
        <v/>
      </c>
      <c r="M88" s="15"/>
      <c r="N88" s="14" t="str">
        <f>""</f>
        <v/>
      </c>
    </row>
    <row r="89" spans="1:14">
      <c r="A89" s="12" t="s">
        <v>7</v>
      </c>
      <c r="B89" s="18" t="str">
        <f>""</f>
        <v/>
      </c>
      <c r="C89" s="18" t="str">
        <f>"Итого по кандидату"</f>
        <v>Итого по кандидату</v>
      </c>
      <c r="D89" s="19">
        <v>15</v>
      </c>
      <c r="E89" s="19">
        <v>0</v>
      </c>
      <c r="F89" s="18" t="str">
        <f>""</f>
        <v/>
      </c>
      <c r="G89" s="19">
        <v>0</v>
      </c>
      <c r="H89" s="20"/>
      <c r="I89" s="19">
        <v>9.6999999999999993</v>
      </c>
      <c r="J89" s="21"/>
      <c r="K89" s="19">
        <v>0</v>
      </c>
      <c r="L89" s="18" t="str">
        <f>""</f>
        <v/>
      </c>
      <c r="M89" s="19">
        <v>0</v>
      </c>
      <c r="N89" s="18" t="str">
        <f>""</f>
        <v/>
      </c>
    </row>
    <row r="90" spans="1:14">
      <c r="A90" s="13" t="s">
        <v>39</v>
      </c>
      <c r="B90" s="14" t="str">
        <f>"Округ №18 (№ 18)"</f>
        <v>Округ №18 (№ 18)</v>
      </c>
      <c r="C90" s="14" t="str">
        <f>"Нурисламова Алена Салаватовна"</f>
        <v>Нурисламова Алена Салаватовна</v>
      </c>
      <c r="D90" s="15">
        <v>0.3</v>
      </c>
      <c r="E90" s="15"/>
      <c r="F90" s="14" t="str">
        <f>""</f>
        <v/>
      </c>
      <c r="G90" s="15"/>
      <c r="H90" s="16"/>
      <c r="I90" s="15">
        <v>0.3</v>
      </c>
      <c r="J90" s="17"/>
      <c r="K90" s="15"/>
      <c r="L90" s="14" t="str">
        <f>""</f>
        <v/>
      </c>
      <c r="M90" s="15"/>
      <c r="N90" s="14" t="str">
        <f>""</f>
        <v/>
      </c>
    </row>
    <row r="91" spans="1:14">
      <c r="A91" s="12" t="s">
        <v>7</v>
      </c>
      <c r="B91" s="18" t="str">
        <f>""</f>
        <v/>
      </c>
      <c r="C91" s="18" t="str">
        <f>"Итого по кандидату"</f>
        <v>Итого по кандидату</v>
      </c>
      <c r="D91" s="19">
        <v>0.3</v>
      </c>
      <c r="E91" s="19">
        <v>0</v>
      </c>
      <c r="F91" s="18" t="str">
        <f>""</f>
        <v/>
      </c>
      <c r="G91" s="19">
        <v>0</v>
      </c>
      <c r="H91" s="20"/>
      <c r="I91" s="19">
        <v>0.3</v>
      </c>
      <c r="J91" s="21"/>
      <c r="K91" s="19">
        <v>0</v>
      </c>
      <c r="L91" s="18" t="str">
        <f>""</f>
        <v/>
      </c>
      <c r="M91" s="19">
        <v>0</v>
      </c>
      <c r="N91" s="18" t="str">
        <f>""</f>
        <v/>
      </c>
    </row>
    <row r="92" spans="1:14">
      <c r="A92" s="13" t="s">
        <v>40</v>
      </c>
      <c r="B92" s="14" t="str">
        <f>"Округ №18 (№ 18)"</f>
        <v>Округ №18 (№ 18)</v>
      </c>
      <c r="C92" s="14" t="str">
        <f>"Ширшова Ольга Александровна"</f>
        <v>Ширшова Ольга Александровна</v>
      </c>
      <c r="D92" s="15">
        <v>24</v>
      </c>
      <c r="E92" s="15"/>
      <c r="F92" s="14" t="str">
        <f>""</f>
        <v/>
      </c>
      <c r="G92" s="15"/>
      <c r="H92" s="16"/>
      <c r="I92" s="15">
        <v>23.33</v>
      </c>
      <c r="J92" s="17"/>
      <c r="K92" s="15"/>
      <c r="L92" s="14" t="str">
        <f>""</f>
        <v/>
      </c>
      <c r="M92" s="15"/>
      <c r="N92" s="14" t="str">
        <f>""</f>
        <v/>
      </c>
    </row>
    <row r="93" spans="1:14">
      <c r="A93" s="12" t="s">
        <v>7</v>
      </c>
      <c r="B93" s="18" t="str">
        <f>""</f>
        <v/>
      </c>
      <c r="C93" s="18" t="str">
        <f>"Итого по кандидату"</f>
        <v>Итого по кандидату</v>
      </c>
      <c r="D93" s="19">
        <v>24</v>
      </c>
      <c r="E93" s="19">
        <v>0</v>
      </c>
      <c r="F93" s="18" t="str">
        <f>""</f>
        <v/>
      </c>
      <c r="G93" s="19">
        <v>0</v>
      </c>
      <c r="H93" s="20"/>
      <c r="I93" s="19">
        <v>23.33</v>
      </c>
      <c r="J93" s="21"/>
      <c r="K93" s="19">
        <v>0</v>
      </c>
      <c r="L93" s="18" t="str">
        <f>""</f>
        <v/>
      </c>
      <c r="M93" s="19">
        <v>0</v>
      </c>
      <c r="N93" s="18" t="str">
        <f>""</f>
        <v/>
      </c>
    </row>
    <row r="94" spans="1:14">
      <c r="A94" s="13" t="s">
        <v>41</v>
      </c>
      <c r="B94" s="14" t="str">
        <f>"Округ №18 (№ 18)"</f>
        <v>Округ №18 (№ 18)</v>
      </c>
      <c r="C94" s="14" t="str">
        <f>"Шугаев Сергей Сергеевич"</f>
        <v>Шугаев Сергей Сергеевич</v>
      </c>
      <c r="D94" s="15">
        <v>0.3</v>
      </c>
      <c r="E94" s="15"/>
      <c r="F94" s="14" t="str">
        <f>""</f>
        <v/>
      </c>
      <c r="G94" s="15"/>
      <c r="H94" s="16"/>
      <c r="I94" s="15">
        <v>0.3</v>
      </c>
      <c r="J94" s="17"/>
      <c r="K94" s="15"/>
      <c r="L94" s="14" t="str">
        <f>""</f>
        <v/>
      </c>
      <c r="M94" s="15"/>
      <c r="N94" s="14" t="str">
        <f>""</f>
        <v/>
      </c>
    </row>
    <row r="95" spans="1:14">
      <c r="A95" s="12" t="s">
        <v>7</v>
      </c>
      <c r="B95" s="18" t="str">
        <f>""</f>
        <v/>
      </c>
      <c r="C95" s="18" t="str">
        <f>"Итого по кандидату"</f>
        <v>Итого по кандидату</v>
      </c>
      <c r="D95" s="19">
        <v>0.3</v>
      </c>
      <c r="E95" s="19">
        <v>0</v>
      </c>
      <c r="F95" s="18" t="str">
        <f>""</f>
        <v/>
      </c>
      <c r="G95" s="19">
        <v>0</v>
      </c>
      <c r="H95" s="20"/>
      <c r="I95" s="19">
        <v>0.3</v>
      </c>
      <c r="J95" s="21"/>
      <c r="K95" s="19">
        <v>0</v>
      </c>
      <c r="L95" s="18" t="str">
        <f>""</f>
        <v/>
      </c>
      <c r="M95" s="19">
        <v>0</v>
      </c>
      <c r="N95" s="18" t="str">
        <f>""</f>
        <v/>
      </c>
    </row>
    <row r="96" spans="1:14">
      <c r="A96" s="13" t="s">
        <v>42</v>
      </c>
      <c r="B96" s="14" t="str">
        <f>"Округ №18 (№ 18)"</f>
        <v>Округ №18 (№ 18)</v>
      </c>
      <c r="C96" s="14" t="str">
        <f>"Яцевич Валентин Вячеславович"</f>
        <v>Яцевич Валентин Вячеславович</v>
      </c>
      <c r="D96" s="15">
        <v>35</v>
      </c>
      <c r="E96" s="15"/>
      <c r="F96" s="14" t="str">
        <f>""</f>
        <v/>
      </c>
      <c r="G96" s="15"/>
      <c r="H96" s="16"/>
      <c r="I96" s="15">
        <v>31.89</v>
      </c>
      <c r="J96" s="17"/>
      <c r="K96" s="15"/>
      <c r="L96" s="14" t="str">
        <f>""</f>
        <v/>
      </c>
      <c r="M96" s="15"/>
      <c r="N96" s="14" t="str">
        <f>""</f>
        <v/>
      </c>
    </row>
    <row r="97" spans="1:14">
      <c r="A97" s="12" t="s">
        <v>7</v>
      </c>
      <c r="B97" s="18" t="str">
        <f>""</f>
        <v/>
      </c>
      <c r="C97" s="18" t="str">
        <f>"Итого по кандидату"</f>
        <v>Итого по кандидату</v>
      </c>
      <c r="D97" s="19">
        <v>35</v>
      </c>
      <c r="E97" s="19">
        <v>0</v>
      </c>
      <c r="F97" s="18" t="str">
        <f>""</f>
        <v/>
      </c>
      <c r="G97" s="19">
        <v>0</v>
      </c>
      <c r="H97" s="20"/>
      <c r="I97" s="19">
        <v>31.89</v>
      </c>
      <c r="J97" s="21"/>
      <c r="K97" s="19">
        <v>0</v>
      </c>
      <c r="L97" s="18" t="str">
        <f>""</f>
        <v/>
      </c>
      <c r="M97" s="19">
        <v>0</v>
      </c>
      <c r="N97" s="18" t="str">
        <f>""</f>
        <v/>
      </c>
    </row>
    <row r="98" spans="1:14" ht="25.5">
      <c r="A98" s="12" t="s">
        <v>7</v>
      </c>
      <c r="B98" s="18" t="str">
        <f>""</f>
        <v/>
      </c>
      <c r="C98" s="18" t="str">
        <f>"Избирательный округ (Округ №18 (№ 18)), всего"</f>
        <v>Избирательный округ (Округ №18 (№ 18)), всего</v>
      </c>
      <c r="D98" s="19">
        <v>119.1</v>
      </c>
      <c r="E98" s="19">
        <v>0</v>
      </c>
      <c r="F98" s="18" t="str">
        <f>""</f>
        <v/>
      </c>
      <c r="G98" s="19">
        <v>0</v>
      </c>
      <c r="H98" s="20"/>
      <c r="I98" s="19">
        <v>106.83</v>
      </c>
      <c r="J98" s="21"/>
      <c r="K98" s="19">
        <v>0</v>
      </c>
      <c r="L98" s="18" t="str">
        <f>""</f>
        <v/>
      </c>
      <c r="M98" s="19">
        <v>0</v>
      </c>
      <c r="N98" s="18" t="str">
        <f>""</f>
        <v/>
      </c>
    </row>
    <row r="99" spans="1:14">
      <c r="A99" s="13" t="s">
        <v>43</v>
      </c>
      <c r="B99" s="14" t="str">
        <f>"Округ №19 (№ 19)"</f>
        <v>Округ №19 (№ 19)</v>
      </c>
      <c r="C99" s="14" t="str">
        <f>"Землянских Алексей Владимирович"</f>
        <v>Землянских Алексей Владимирович</v>
      </c>
      <c r="D99" s="15">
        <v>25.4</v>
      </c>
      <c r="E99" s="15"/>
      <c r="F99" s="14" t="str">
        <f>""</f>
        <v/>
      </c>
      <c r="G99" s="15"/>
      <c r="H99" s="16"/>
      <c r="I99" s="15">
        <v>25.4</v>
      </c>
      <c r="J99" s="17"/>
      <c r="K99" s="15"/>
      <c r="L99" s="14" t="str">
        <f>""</f>
        <v/>
      </c>
      <c r="M99" s="15"/>
      <c r="N99" s="14" t="str">
        <f>""</f>
        <v/>
      </c>
    </row>
    <row r="100" spans="1:14">
      <c r="A100" s="12" t="s">
        <v>7</v>
      </c>
      <c r="B100" s="18" t="str">
        <f>""</f>
        <v/>
      </c>
      <c r="C100" s="18" t="str">
        <f>"Итого по кандидату"</f>
        <v>Итого по кандидату</v>
      </c>
      <c r="D100" s="19">
        <v>25.4</v>
      </c>
      <c r="E100" s="19">
        <v>0</v>
      </c>
      <c r="F100" s="18" t="str">
        <f>""</f>
        <v/>
      </c>
      <c r="G100" s="19">
        <v>0</v>
      </c>
      <c r="H100" s="20"/>
      <c r="I100" s="19">
        <v>25.4</v>
      </c>
      <c r="J100" s="21"/>
      <c r="K100" s="19">
        <v>0</v>
      </c>
      <c r="L100" s="18" t="str">
        <f>""</f>
        <v/>
      </c>
      <c r="M100" s="19">
        <v>0</v>
      </c>
      <c r="N100" s="18" t="str">
        <f>""</f>
        <v/>
      </c>
    </row>
    <row r="101" spans="1:14">
      <c r="A101" s="13" t="s">
        <v>44</v>
      </c>
      <c r="B101" s="14" t="str">
        <f>"Округ №19 (№ 19)"</f>
        <v>Округ №19 (№ 19)</v>
      </c>
      <c r="C101" s="14" t="str">
        <f>"Самигуллин Рустам Зинурович"</f>
        <v>Самигуллин Рустам Зинурович</v>
      </c>
      <c r="D101" s="15">
        <v>81</v>
      </c>
      <c r="E101" s="15"/>
      <c r="F101" s="14" t="str">
        <f>""</f>
        <v/>
      </c>
      <c r="G101" s="15">
        <v>80</v>
      </c>
      <c r="H101" s="16">
        <v>2</v>
      </c>
      <c r="I101" s="15">
        <v>76.02</v>
      </c>
      <c r="J101" s="17"/>
      <c r="K101" s="15"/>
      <c r="L101" s="14" t="str">
        <f>""</f>
        <v/>
      </c>
      <c r="M101" s="15"/>
      <c r="N101" s="14" t="str">
        <f>""</f>
        <v/>
      </c>
    </row>
    <row r="102" spans="1:14">
      <c r="A102" s="12" t="s">
        <v>7</v>
      </c>
      <c r="B102" s="18" t="str">
        <f>""</f>
        <v/>
      </c>
      <c r="C102" s="18" t="str">
        <f>"Итого по кандидату"</f>
        <v>Итого по кандидату</v>
      </c>
      <c r="D102" s="19">
        <v>81</v>
      </c>
      <c r="E102" s="19">
        <v>0</v>
      </c>
      <c r="F102" s="18" t="str">
        <f>""</f>
        <v/>
      </c>
      <c r="G102" s="19">
        <v>80</v>
      </c>
      <c r="H102" s="20"/>
      <c r="I102" s="19">
        <v>76.02</v>
      </c>
      <c r="J102" s="21"/>
      <c r="K102" s="19">
        <v>0</v>
      </c>
      <c r="L102" s="18" t="str">
        <f>""</f>
        <v/>
      </c>
      <c r="M102" s="19">
        <v>0</v>
      </c>
      <c r="N102" s="18" t="str">
        <f>""</f>
        <v/>
      </c>
    </row>
    <row r="103" spans="1:14" ht="25.5">
      <c r="A103" s="12" t="s">
        <v>7</v>
      </c>
      <c r="B103" s="18" t="str">
        <f>""</f>
        <v/>
      </c>
      <c r="C103" s="18" t="str">
        <f>"Избирательный округ (Округ №19 (№ 19)), всего"</f>
        <v>Избирательный округ (Округ №19 (№ 19)), всего</v>
      </c>
      <c r="D103" s="19">
        <v>106.4</v>
      </c>
      <c r="E103" s="19">
        <v>0</v>
      </c>
      <c r="F103" s="18" t="str">
        <f>""</f>
        <v/>
      </c>
      <c r="G103" s="19">
        <v>80</v>
      </c>
      <c r="H103" s="20"/>
      <c r="I103" s="19">
        <v>101.42</v>
      </c>
      <c r="J103" s="21"/>
      <c r="K103" s="19">
        <v>0</v>
      </c>
      <c r="L103" s="18" t="str">
        <f>""</f>
        <v/>
      </c>
      <c r="M103" s="19">
        <v>0</v>
      </c>
      <c r="N103" s="18" t="str">
        <f>""</f>
        <v/>
      </c>
    </row>
    <row r="104" spans="1:14">
      <c r="A104" s="13" t="s">
        <v>45</v>
      </c>
      <c r="B104" s="14" t="str">
        <f>"Округ №2 (№ 2)"</f>
        <v>Округ №2 (№ 2)</v>
      </c>
      <c r="C104" s="14" t="str">
        <f>"Киндрук Павел Васильевич"</f>
        <v>Киндрук Павел Васильевич</v>
      </c>
      <c r="D104" s="15">
        <v>37.5</v>
      </c>
      <c r="E104" s="15"/>
      <c r="F104" s="14" t="str">
        <f>""</f>
        <v/>
      </c>
      <c r="G104" s="15"/>
      <c r="H104" s="16"/>
      <c r="I104" s="15">
        <v>37.24</v>
      </c>
      <c r="J104" s="17"/>
      <c r="K104" s="15"/>
      <c r="L104" s="14" t="str">
        <f>""</f>
        <v/>
      </c>
      <c r="M104" s="15"/>
      <c r="N104" s="14" t="str">
        <f>""</f>
        <v/>
      </c>
    </row>
    <row r="105" spans="1:14">
      <c r="A105" s="12" t="s">
        <v>7</v>
      </c>
      <c r="B105" s="18" t="str">
        <f>""</f>
        <v/>
      </c>
      <c r="C105" s="18" t="str">
        <f>"Итого по кандидату"</f>
        <v>Итого по кандидату</v>
      </c>
      <c r="D105" s="19">
        <v>37.5</v>
      </c>
      <c r="E105" s="19">
        <v>0</v>
      </c>
      <c r="F105" s="18" t="str">
        <f>""</f>
        <v/>
      </c>
      <c r="G105" s="19">
        <v>0</v>
      </c>
      <c r="H105" s="20"/>
      <c r="I105" s="19">
        <v>37.24</v>
      </c>
      <c r="J105" s="21"/>
      <c r="K105" s="19">
        <v>0</v>
      </c>
      <c r="L105" s="18" t="str">
        <f>""</f>
        <v/>
      </c>
      <c r="M105" s="19">
        <v>0</v>
      </c>
      <c r="N105" s="18" t="str">
        <f>""</f>
        <v/>
      </c>
    </row>
    <row r="106" spans="1:14">
      <c r="A106" s="13" t="s">
        <v>46</v>
      </c>
      <c r="B106" s="14" t="str">
        <f>"Округ №2 (№ 2)"</f>
        <v>Округ №2 (№ 2)</v>
      </c>
      <c r="C106" s="14" t="str">
        <f>"Маматханова Наталья Ивановна"</f>
        <v>Маматханова Наталья Ивановна</v>
      </c>
      <c r="D106" s="15">
        <v>41.85</v>
      </c>
      <c r="E106" s="15"/>
      <c r="F106" s="14" t="str">
        <f>""</f>
        <v/>
      </c>
      <c r="G106" s="15"/>
      <c r="H106" s="16"/>
      <c r="I106" s="15">
        <v>41.85</v>
      </c>
      <c r="J106" s="17"/>
      <c r="K106" s="15"/>
      <c r="L106" s="14" t="str">
        <f>""</f>
        <v/>
      </c>
      <c r="M106" s="15"/>
      <c r="N106" s="14" t="str">
        <f>""</f>
        <v/>
      </c>
    </row>
    <row r="107" spans="1:14">
      <c r="A107" s="12" t="s">
        <v>7</v>
      </c>
      <c r="B107" s="18" t="str">
        <f>""</f>
        <v/>
      </c>
      <c r="C107" s="18" t="str">
        <f>"Итого по кандидату"</f>
        <v>Итого по кандидату</v>
      </c>
      <c r="D107" s="19">
        <v>41.85</v>
      </c>
      <c r="E107" s="19">
        <v>0</v>
      </c>
      <c r="F107" s="18" t="str">
        <f>""</f>
        <v/>
      </c>
      <c r="G107" s="19">
        <v>0</v>
      </c>
      <c r="H107" s="20"/>
      <c r="I107" s="19">
        <v>41.85</v>
      </c>
      <c r="J107" s="21"/>
      <c r="K107" s="19">
        <v>0</v>
      </c>
      <c r="L107" s="18" t="str">
        <f>""</f>
        <v/>
      </c>
      <c r="M107" s="19">
        <v>0</v>
      </c>
      <c r="N107" s="18" t="str">
        <f>""</f>
        <v/>
      </c>
    </row>
    <row r="108" spans="1:14">
      <c r="A108" s="13" t="s">
        <v>47</v>
      </c>
      <c r="B108" s="14" t="str">
        <f>"Округ №2 (№ 2)"</f>
        <v>Округ №2 (№ 2)</v>
      </c>
      <c r="C108" s="14" t="str">
        <f>"Плотников Василий Витальевич"</f>
        <v>Плотников Василий Витальевич</v>
      </c>
      <c r="D108" s="15">
        <v>0.3</v>
      </c>
      <c r="E108" s="15"/>
      <c r="F108" s="14" t="str">
        <f>""</f>
        <v/>
      </c>
      <c r="G108" s="15"/>
      <c r="H108" s="16"/>
      <c r="I108" s="15">
        <v>0.3</v>
      </c>
      <c r="J108" s="17"/>
      <c r="K108" s="15"/>
      <c r="L108" s="14" t="str">
        <f>""</f>
        <v/>
      </c>
      <c r="M108" s="15"/>
      <c r="N108" s="14" t="str">
        <f>""</f>
        <v/>
      </c>
    </row>
    <row r="109" spans="1:14">
      <c r="A109" s="12" t="s">
        <v>7</v>
      </c>
      <c r="B109" s="18" t="str">
        <f>""</f>
        <v/>
      </c>
      <c r="C109" s="18" t="str">
        <f>"Итого по кандидату"</f>
        <v>Итого по кандидату</v>
      </c>
      <c r="D109" s="19">
        <v>0.3</v>
      </c>
      <c r="E109" s="19">
        <v>0</v>
      </c>
      <c r="F109" s="18" t="str">
        <f>""</f>
        <v/>
      </c>
      <c r="G109" s="19">
        <v>0</v>
      </c>
      <c r="H109" s="20"/>
      <c r="I109" s="19">
        <v>0.3</v>
      </c>
      <c r="J109" s="21"/>
      <c r="K109" s="19">
        <v>0</v>
      </c>
      <c r="L109" s="18" t="str">
        <f>""</f>
        <v/>
      </c>
      <c r="M109" s="19">
        <v>0</v>
      </c>
      <c r="N109" s="18" t="str">
        <f>""</f>
        <v/>
      </c>
    </row>
    <row r="110" spans="1:14">
      <c r="A110" s="13" t="s">
        <v>48</v>
      </c>
      <c r="B110" s="14" t="str">
        <f>"Округ №2 (№ 2)"</f>
        <v>Округ №2 (№ 2)</v>
      </c>
      <c r="C110" s="14" t="str">
        <f>"Родионов Алексей Николаевич"</f>
        <v>Родионов Алексей Николаевич</v>
      </c>
      <c r="D110" s="15">
        <v>80</v>
      </c>
      <c r="E110" s="15"/>
      <c r="F110" s="14" t="str">
        <f>""</f>
        <v/>
      </c>
      <c r="G110" s="15">
        <v>80</v>
      </c>
      <c r="H110" s="16">
        <v>2</v>
      </c>
      <c r="I110" s="15">
        <v>75.92</v>
      </c>
      <c r="J110" s="17"/>
      <c r="K110" s="15"/>
      <c r="L110" s="14" t="str">
        <f>""</f>
        <v/>
      </c>
      <c r="M110" s="15"/>
      <c r="N110" s="14" t="str">
        <f>""</f>
        <v/>
      </c>
    </row>
    <row r="111" spans="1:14">
      <c r="A111" s="12" t="s">
        <v>7</v>
      </c>
      <c r="B111" s="18" t="str">
        <f>""</f>
        <v/>
      </c>
      <c r="C111" s="18" t="str">
        <f>"Итого по кандидату"</f>
        <v>Итого по кандидату</v>
      </c>
      <c r="D111" s="19">
        <v>80</v>
      </c>
      <c r="E111" s="19">
        <v>0</v>
      </c>
      <c r="F111" s="18" t="str">
        <f>""</f>
        <v/>
      </c>
      <c r="G111" s="19">
        <v>80</v>
      </c>
      <c r="H111" s="20"/>
      <c r="I111" s="19">
        <v>75.92</v>
      </c>
      <c r="J111" s="21"/>
      <c r="K111" s="19">
        <v>0</v>
      </c>
      <c r="L111" s="18" t="str">
        <f>""</f>
        <v/>
      </c>
      <c r="M111" s="19">
        <v>0</v>
      </c>
      <c r="N111" s="18" t="str">
        <f>""</f>
        <v/>
      </c>
    </row>
    <row r="112" spans="1:14" ht="25.5">
      <c r="A112" s="12" t="s">
        <v>7</v>
      </c>
      <c r="B112" s="18" t="str">
        <f>""</f>
        <v/>
      </c>
      <c r="C112" s="18" t="str">
        <f>"Избирательный округ (Округ №2 (№ 2)), всего"</f>
        <v>Избирательный округ (Округ №2 (№ 2)), всего</v>
      </c>
      <c r="D112" s="19">
        <v>159.65</v>
      </c>
      <c r="E112" s="19">
        <v>0</v>
      </c>
      <c r="F112" s="18" t="str">
        <f>""</f>
        <v/>
      </c>
      <c r="G112" s="19">
        <v>80</v>
      </c>
      <c r="H112" s="20"/>
      <c r="I112" s="19">
        <v>155.31</v>
      </c>
      <c r="J112" s="21"/>
      <c r="K112" s="19">
        <v>0</v>
      </c>
      <c r="L112" s="18" t="str">
        <f>""</f>
        <v/>
      </c>
      <c r="M112" s="19">
        <v>0</v>
      </c>
      <c r="N112" s="18" t="str">
        <f>""</f>
        <v/>
      </c>
    </row>
    <row r="113" spans="1:14">
      <c r="A113" s="13" t="s">
        <v>49</v>
      </c>
      <c r="B113" s="14" t="str">
        <f>"Округ №20 (№ 20)"</f>
        <v>Округ №20 (№ 20)</v>
      </c>
      <c r="C113" s="14" t="str">
        <f>"Маматханов Константин Султанмуратович"</f>
        <v>Маматханов Константин Султанмуратович</v>
      </c>
      <c r="D113" s="15">
        <v>53.35</v>
      </c>
      <c r="E113" s="15"/>
      <c r="F113" s="14" t="str">
        <f>""</f>
        <v/>
      </c>
      <c r="G113" s="15"/>
      <c r="H113" s="16"/>
      <c r="I113" s="15">
        <v>53.35</v>
      </c>
      <c r="J113" s="17"/>
      <c r="K113" s="15"/>
      <c r="L113" s="14" t="str">
        <f>""</f>
        <v/>
      </c>
      <c r="M113" s="15"/>
      <c r="N113" s="14" t="str">
        <f>""</f>
        <v/>
      </c>
    </row>
    <row r="114" spans="1:14">
      <c r="A114" s="12" t="s">
        <v>7</v>
      </c>
      <c r="B114" s="18" t="str">
        <f>""</f>
        <v/>
      </c>
      <c r="C114" s="18" t="str">
        <f>"Итого по кандидату"</f>
        <v>Итого по кандидату</v>
      </c>
      <c r="D114" s="19">
        <v>53.35</v>
      </c>
      <c r="E114" s="19">
        <v>0</v>
      </c>
      <c r="F114" s="18" t="str">
        <f>""</f>
        <v/>
      </c>
      <c r="G114" s="19">
        <v>0</v>
      </c>
      <c r="H114" s="20"/>
      <c r="I114" s="19">
        <v>53.35</v>
      </c>
      <c r="J114" s="21"/>
      <c r="K114" s="19">
        <v>0</v>
      </c>
      <c r="L114" s="18" t="str">
        <f>""</f>
        <v/>
      </c>
      <c r="M114" s="19">
        <v>0</v>
      </c>
      <c r="N114" s="18" t="str">
        <f>""</f>
        <v/>
      </c>
    </row>
    <row r="115" spans="1:14" ht="25.5">
      <c r="A115" s="12" t="s">
        <v>7</v>
      </c>
      <c r="B115" s="18" t="str">
        <f>""</f>
        <v/>
      </c>
      <c r="C115" s="18" t="str">
        <f>"Избирательный округ (Округ №20 (№ 20)), всего"</f>
        <v>Избирательный округ (Округ №20 (№ 20)), всего</v>
      </c>
      <c r="D115" s="19">
        <v>53.35</v>
      </c>
      <c r="E115" s="19">
        <v>0</v>
      </c>
      <c r="F115" s="18" t="str">
        <f>""</f>
        <v/>
      </c>
      <c r="G115" s="19">
        <v>0</v>
      </c>
      <c r="H115" s="20"/>
      <c r="I115" s="19">
        <v>53.35</v>
      </c>
      <c r="J115" s="21"/>
      <c r="K115" s="19">
        <v>0</v>
      </c>
      <c r="L115" s="18" t="str">
        <f>""</f>
        <v/>
      </c>
      <c r="M115" s="19">
        <v>0</v>
      </c>
      <c r="N115" s="18" t="str">
        <f>""</f>
        <v/>
      </c>
    </row>
    <row r="116" spans="1:14">
      <c r="A116" s="13" t="s">
        <v>50</v>
      </c>
      <c r="B116" s="14" t="str">
        <f>"Округ №21 (№ 21)"</f>
        <v>Округ №21 (№ 21)</v>
      </c>
      <c r="C116" s="14" t="str">
        <f>"Андреев Сергей Васильевич"</f>
        <v>Андреев Сергей Васильевич</v>
      </c>
      <c r="D116" s="15">
        <v>68.22</v>
      </c>
      <c r="E116" s="15"/>
      <c r="F116" s="14" t="str">
        <f>""</f>
        <v/>
      </c>
      <c r="G116" s="15"/>
      <c r="H116" s="16"/>
      <c r="I116" s="15">
        <v>68.22</v>
      </c>
      <c r="J116" s="17"/>
      <c r="K116" s="15"/>
      <c r="L116" s="14" t="str">
        <f>""</f>
        <v/>
      </c>
      <c r="M116" s="15"/>
      <c r="N116" s="14" t="str">
        <f>""</f>
        <v/>
      </c>
    </row>
    <row r="117" spans="1:14">
      <c r="A117" s="12" t="s">
        <v>7</v>
      </c>
      <c r="B117" s="18" t="str">
        <f>""</f>
        <v/>
      </c>
      <c r="C117" s="18" t="str">
        <f>"Итого по кандидату"</f>
        <v>Итого по кандидату</v>
      </c>
      <c r="D117" s="19">
        <v>68.22</v>
      </c>
      <c r="E117" s="19">
        <v>0</v>
      </c>
      <c r="F117" s="18" t="str">
        <f>""</f>
        <v/>
      </c>
      <c r="G117" s="19">
        <v>0</v>
      </c>
      <c r="H117" s="20"/>
      <c r="I117" s="19">
        <v>68.22</v>
      </c>
      <c r="J117" s="21"/>
      <c r="K117" s="19">
        <v>0</v>
      </c>
      <c r="L117" s="18" t="str">
        <f>""</f>
        <v/>
      </c>
      <c r="M117" s="19">
        <v>0</v>
      </c>
      <c r="N117" s="18" t="str">
        <f>""</f>
        <v/>
      </c>
    </row>
    <row r="118" spans="1:14">
      <c r="A118" s="13" t="s">
        <v>51</v>
      </c>
      <c r="B118" s="14" t="str">
        <f>"Округ №21 (№ 21)"</f>
        <v>Округ №21 (№ 21)</v>
      </c>
      <c r="C118" s="14" t="str">
        <f>"Кузьмина Анна Анатольевна"</f>
        <v>Кузьмина Анна Анатольевна</v>
      </c>
      <c r="D118" s="15">
        <v>9.1999999999999993</v>
      </c>
      <c r="E118" s="15"/>
      <c r="F118" s="14" t="str">
        <f>""</f>
        <v/>
      </c>
      <c r="G118" s="15"/>
      <c r="H118" s="16"/>
      <c r="I118" s="15">
        <v>8.6</v>
      </c>
      <c r="J118" s="17"/>
      <c r="K118" s="15"/>
      <c r="L118" s="14" t="str">
        <f>""</f>
        <v/>
      </c>
      <c r="M118" s="15"/>
      <c r="N118" s="14" t="str">
        <f>""</f>
        <v/>
      </c>
    </row>
    <row r="119" spans="1:14">
      <c r="A119" s="12" t="s">
        <v>7</v>
      </c>
      <c r="B119" s="18" t="str">
        <f>""</f>
        <v/>
      </c>
      <c r="C119" s="18" t="str">
        <f>"Итого по кандидату"</f>
        <v>Итого по кандидату</v>
      </c>
      <c r="D119" s="19">
        <v>9.1999999999999993</v>
      </c>
      <c r="E119" s="19">
        <v>0</v>
      </c>
      <c r="F119" s="18" t="str">
        <f>""</f>
        <v/>
      </c>
      <c r="G119" s="19">
        <v>0</v>
      </c>
      <c r="H119" s="20"/>
      <c r="I119" s="19">
        <v>8.6</v>
      </c>
      <c r="J119" s="21"/>
      <c r="K119" s="19">
        <v>0</v>
      </c>
      <c r="L119" s="18" t="str">
        <f>""</f>
        <v/>
      </c>
      <c r="M119" s="19">
        <v>0</v>
      </c>
      <c r="N119" s="18" t="str">
        <f>""</f>
        <v/>
      </c>
    </row>
    <row r="120" spans="1:14">
      <c r="A120" s="13" t="s">
        <v>52</v>
      </c>
      <c r="B120" s="14" t="str">
        <f>"Округ №21 (№ 21)"</f>
        <v>Округ №21 (№ 21)</v>
      </c>
      <c r="C120" s="14" t="str">
        <f>"Османов Сергей Асланович"</f>
        <v>Османов Сергей Асланович</v>
      </c>
      <c r="D120" s="15">
        <v>50</v>
      </c>
      <c r="E120" s="15"/>
      <c r="F120" s="14" t="str">
        <f>""</f>
        <v/>
      </c>
      <c r="G120" s="15"/>
      <c r="H120" s="16"/>
      <c r="I120" s="15">
        <v>45.05</v>
      </c>
      <c r="J120" s="17"/>
      <c r="K120" s="15"/>
      <c r="L120" s="14" t="str">
        <f>""</f>
        <v/>
      </c>
      <c r="M120" s="15"/>
      <c r="N120" s="14" t="str">
        <f>""</f>
        <v/>
      </c>
    </row>
    <row r="121" spans="1:14">
      <c r="A121" s="12" t="s">
        <v>7</v>
      </c>
      <c r="B121" s="18" t="str">
        <f>""</f>
        <v/>
      </c>
      <c r="C121" s="18" t="str">
        <f>"Итого по кандидату"</f>
        <v>Итого по кандидату</v>
      </c>
      <c r="D121" s="19">
        <v>50</v>
      </c>
      <c r="E121" s="19">
        <v>0</v>
      </c>
      <c r="F121" s="18" t="str">
        <f>""</f>
        <v/>
      </c>
      <c r="G121" s="19">
        <v>0</v>
      </c>
      <c r="H121" s="20"/>
      <c r="I121" s="19">
        <v>45.05</v>
      </c>
      <c r="J121" s="21"/>
      <c r="K121" s="19">
        <v>0</v>
      </c>
      <c r="L121" s="18" t="str">
        <f>""</f>
        <v/>
      </c>
      <c r="M121" s="19">
        <v>0</v>
      </c>
      <c r="N121" s="18" t="str">
        <f>""</f>
        <v/>
      </c>
    </row>
    <row r="122" spans="1:14">
      <c r="A122" s="13" t="s">
        <v>53</v>
      </c>
      <c r="B122" s="14" t="str">
        <f>"Округ №21 (№ 21)"</f>
        <v>Округ №21 (№ 21)</v>
      </c>
      <c r="C122" s="14" t="str">
        <f>"Пушкарёв Артём Андреевич"</f>
        <v>Пушкарёв Артём Андреевич</v>
      </c>
      <c r="D122" s="15">
        <v>71.400000000000006</v>
      </c>
      <c r="E122" s="15"/>
      <c r="F122" s="14" t="str">
        <f>""</f>
        <v/>
      </c>
      <c r="G122" s="15"/>
      <c r="H122" s="16"/>
      <c r="I122" s="15">
        <v>56.83</v>
      </c>
      <c r="J122" s="17"/>
      <c r="K122" s="15"/>
      <c r="L122" s="14" t="str">
        <f>""</f>
        <v/>
      </c>
      <c r="M122" s="15"/>
      <c r="N122" s="14" t="str">
        <f>""</f>
        <v/>
      </c>
    </row>
    <row r="123" spans="1:14">
      <c r="A123" s="12" t="s">
        <v>7</v>
      </c>
      <c r="B123" s="18" t="str">
        <f>""</f>
        <v/>
      </c>
      <c r="C123" s="18" t="str">
        <f>"Итого по кандидату"</f>
        <v>Итого по кандидату</v>
      </c>
      <c r="D123" s="19">
        <v>71.400000000000006</v>
      </c>
      <c r="E123" s="19">
        <v>0</v>
      </c>
      <c r="F123" s="18" t="str">
        <f>""</f>
        <v/>
      </c>
      <c r="G123" s="19">
        <v>0</v>
      </c>
      <c r="H123" s="20"/>
      <c r="I123" s="19">
        <v>56.83</v>
      </c>
      <c r="J123" s="21"/>
      <c r="K123" s="19">
        <v>0</v>
      </c>
      <c r="L123" s="18" t="str">
        <f>""</f>
        <v/>
      </c>
      <c r="M123" s="19">
        <v>0</v>
      </c>
      <c r="N123" s="18" t="str">
        <f>""</f>
        <v/>
      </c>
    </row>
    <row r="124" spans="1:14">
      <c r="A124" s="13" t="s">
        <v>54</v>
      </c>
      <c r="B124" s="14" t="str">
        <f>"Округ №21 (№ 21)"</f>
        <v>Округ №21 (№ 21)</v>
      </c>
      <c r="C124" s="14" t="str">
        <f>"Семухин Сергей Владимирович"</f>
        <v>Семухин Сергей Владимирович</v>
      </c>
      <c r="D124" s="15">
        <v>0.3</v>
      </c>
      <c r="E124" s="15"/>
      <c r="F124" s="14" t="str">
        <f>""</f>
        <v/>
      </c>
      <c r="G124" s="15"/>
      <c r="H124" s="16"/>
      <c r="I124" s="15">
        <v>0.3</v>
      </c>
      <c r="J124" s="17"/>
      <c r="K124" s="15"/>
      <c r="L124" s="14" t="str">
        <f>""</f>
        <v/>
      </c>
      <c r="M124" s="15"/>
      <c r="N124" s="14" t="str">
        <f>""</f>
        <v/>
      </c>
    </row>
    <row r="125" spans="1:14">
      <c r="A125" s="12" t="s">
        <v>7</v>
      </c>
      <c r="B125" s="18" t="str">
        <f>""</f>
        <v/>
      </c>
      <c r="C125" s="18" t="str">
        <f>"Итого по кандидату"</f>
        <v>Итого по кандидату</v>
      </c>
      <c r="D125" s="19">
        <v>0.3</v>
      </c>
      <c r="E125" s="19">
        <v>0</v>
      </c>
      <c r="F125" s="18" t="str">
        <f>""</f>
        <v/>
      </c>
      <c r="G125" s="19">
        <v>0</v>
      </c>
      <c r="H125" s="20"/>
      <c r="I125" s="19">
        <v>0.3</v>
      </c>
      <c r="J125" s="21"/>
      <c r="K125" s="19">
        <v>0</v>
      </c>
      <c r="L125" s="18" t="str">
        <f>""</f>
        <v/>
      </c>
      <c r="M125" s="19">
        <v>0</v>
      </c>
      <c r="N125" s="18" t="str">
        <f>""</f>
        <v/>
      </c>
    </row>
    <row r="126" spans="1:14" ht="25.5">
      <c r="A126" s="12" t="s">
        <v>7</v>
      </c>
      <c r="B126" s="18" t="str">
        <f>""</f>
        <v/>
      </c>
      <c r="C126" s="18" t="str">
        <f>"Избирательный округ (Округ №21 (№ 21)), всего"</f>
        <v>Избирательный округ (Округ №21 (№ 21)), всего</v>
      </c>
      <c r="D126" s="19">
        <v>199.12</v>
      </c>
      <c r="E126" s="19">
        <v>0</v>
      </c>
      <c r="F126" s="18" t="str">
        <f>""</f>
        <v/>
      </c>
      <c r="G126" s="19">
        <v>0</v>
      </c>
      <c r="H126" s="20"/>
      <c r="I126" s="19">
        <v>179</v>
      </c>
      <c r="J126" s="21"/>
      <c r="K126" s="19">
        <v>0</v>
      </c>
      <c r="L126" s="18" t="str">
        <f>""</f>
        <v/>
      </c>
      <c r="M126" s="19">
        <v>0</v>
      </c>
      <c r="N126" s="18" t="str">
        <f>""</f>
        <v/>
      </c>
    </row>
    <row r="127" spans="1:14">
      <c r="A127" s="13" t="s">
        <v>55</v>
      </c>
      <c r="B127" s="14" t="str">
        <f>"Округ №22 (№ 22)"</f>
        <v>Округ №22 (№ 22)</v>
      </c>
      <c r="C127" s="14" t="str">
        <f>"Анохина Татьяна Юрьевна"</f>
        <v>Анохина Татьяна Юрьевна</v>
      </c>
      <c r="D127" s="15">
        <v>14.39</v>
      </c>
      <c r="E127" s="15"/>
      <c r="F127" s="14" t="str">
        <f>""</f>
        <v/>
      </c>
      <c r="G127" s="15"/>
      <c r="H127" s="16"/>
      <c r="I127" s="15">
        <v>14.39</v>
      </c>
      <c r="J127" s="17"/>
      <c r="K127" s="15"/>
      <c r="L127" s="14" t="str">
        <f>""</f>
        <v/>
      </c>
      <c r="M127" s="15"/>
      <c r="N127" s="14" t="str">
        <f>""</f>
        <v/>
      </c>
    </row>
    <row r="128" spans="1:14">
      <c r="A128" s="12" t="s">
        <v>7</v>
      </c>
      <c r="B128" s="18" t="str">
        <f>""</f>
        <v/>
      </c>
      <c r="C128" s="18" t="str">
        <f>"Итого по кандидату"</f>
        <v>Итого по кандидату</v>
      </c>
      <c r="D128" s="19">
        <v>14.39</v>
      </c>
      <c r="E128" s="19">
        <v>0</v>
      </c>
      <c r="F128" s="18" t="str">
        <f>""</f>
        <v/>
      </c>
      <c r="G128" s="19">
        <v>0</v>
      </c>
      <c r="H128" s="20"/>
      <c r="I128" s="19">
        <v>14.39</v>
      </c>
      <c r="J128" s="21"/>
      <c r="K128" s="19">
        <v>0</v>
      </c>
      <c r="L128" s="18" t="str">
        <f>""</f>
        <v/>
      </c>
      <c r="M128" s="19">
        <v>0</v>
      </c>
      <c r="N128" s="18" t="str">
        <f>""</f>
        <v/>
      </c>
    </row>
    <row r="129" spans="1:14">
      <c r="A129" s="13" t="s">
        <v>56</v>
      </c>
      <c r="B129" s="14" t="str">
        <f>"Округ №22 (№ 22)"</f>
        <v>Округ №22 (№ 22)</v>
      </c>
      <c r="C129" s="14" t="str">
        <f>"Ахмеров Руслан Флюрович"</f>
        <v>Ахмеров Руслан Флюрович</v>
      </c>
      <c r="D129" s="15">
        <v>0.2</v>
      </c>
      <c r="E129" s="15"/>
      <c r="F129" s="14" t="str">
        <f>""</f>
        <v/>
      </c>
      <c r="G129" s="15"/>
      <c r="H129" s="16"/>
      <c r="I129" s="15">
        <v>0.2</v>
      </c>
      <c r="J129" s="17"/>
      <c r="K129" s="15"/>
      <c r="L129" s="14" t="str">
        <f>""</f>
        <v/>
      </c>
      <c r="M129" s="15"/>
      <c r="N129" s="14" t="str">
        <f>""</f>
        <v/>
      </c>
    </row>
    <row r="130" spans="1:14">
      <c r="A130" s="12" t="s">
        <v>7</v>
      </c>
      <c r="B130" s="18" t="str">
        <f>""</f>
        <v/>
      </c>
      <c r="C130" s="18" t="str">
        <f>"Итого по кандидату"</f>
        <v>Итого по кандидату</v>
      </c>
      <c r="D130" s="19">
        <v>0.2</v>
      </c>
      <c r="E130" s="19">
        <v>0</v>
      </c>
      <c r="F130" s="18" t="str">
        <f>""</f>
        <v/>
      </c>
      <c r="G130" s="19">
        <v>0</v>
      </c>
      <c r="H130" s="20"/>
      <c r="I130" s="19">
        <v>0.2</v>
      </c>
      <c r="J130" s="21"/>
      <c r="K130" s="19">
        <v>0</v>
      </c>
      <c r="L130" s="18" t="str">
        <f>""</f>
        <v/>
      </c>
      <c r="M130" s="19">
        <v>0</v>
      </c>
      <c r="N130" s="18" t="str">
        <f>""</f>
        <v/>
      </c>
    </row>
    <row r="131" spans="1:14">
      <c r="A131" s="13" t="s">
        <v>57</v>
      </c>
      <c r="B131" s="14" t="str">
        <f>"Округ №22 (№ 22)"</f>
        <v>Округ №22 (№ 22)</v>
      </c>
      <c r="C131" s="14" t="str">
        <f>"Гумеров Ильшат Гыйффатович"</f>
        <v>Гумеров Ильшат Гыйффатович</v>
      </c>
      <c r="D131" s="15">
        <v>100</v>
      </c>
      <c r="E131" s="15"/>
      <c r="F131" s="14" t="str">
        <f>""</f>
        <v/>
      </c>
      <c r="G131" s="15">
        <v>80</v>
      </c>
      <c r="H131" s="16">
        <v>2</v>
      </c>
      <c r="I131" s="15">
        <v>92.92</v>
      </c>
      <c r="J131" s="17"/>
      <c r="K131" s="15"/>
      <c r="L131" s="14" t="str">
        <f>""</f>
        <v/>
      </c>
      <c r="M131" s="15"/>
      <c r="N131" s="14" t="str">
        <f>""</f>
        <v/>
      </c>
    </row>
    <row r="132" spans="1:14">
      <c r="A132" s="12" t="s">
        <v>7</v>
      </c>
      <c r="B132" s="18" t="str">
        <f>""</f>
        <v/>
      </c>
      <c r="C132" s="18" t="str">
        <f>"Итого по кандидату"</f>
        <v>Итого по кандидату</v>
      </c>
      <c r="D132" s="19">
        <v>100</v>
      </c>
      <c r="E132" s="19">
        <v>0</v>
      </c>
      <c r="F132" s="18" t="str">
        <f>""</f>
        <v/>
      </c>
      <c r="G132" s="19">
        <v>80</v>
      </c>
      <c r="H132" s="20"/>
      <c r="I132" s="19">
        <v>92.92</v>
      </c>
      <c r="J132" s="21"/>
      <c r="K132" s="19">
        <v>0</v>
      </c>
      <c r="L132" s="18" t="str">
        <f>""</f>
        <v/>
      </c>
      <c r="M132" s="19">
        <v>0</v>
      </c>
      <c r="N132" s="18" t="str">
        <f>""</f>
        <v/>
      </c>
    </row>
    <row r="133" spans="1:14">
      <c r="A133" s="13" t="s">
        <v>58</v>
      </c>
      <c r="B133" s="14" t="str">
        <f>"Округ №22 (№ 22)"</f>
        <v>Округ №22 (№ 22)</v>
      </c>
      <c r="C133" s="14" t="str">
        <f>"Зеленский Игорь Иванович"</f>
        <v>Зеленский Игорь Иванович</v>
      </c>
      <c r="D133" s="15">
        <v>10</v>
      </c>
      <c r="E133" s="15"/>
      <c r="F133" s="14" t="str">
        <f>""</f>
        <v/>
      </c>
      <c r="G133" s="15"/>
      <c r="H133" s="16"/>
      <c r="I133" s="15">
        <v>6.06</v>
      </c>
      <c r="J133" s="17"/>
      <c r="K133" s="15"/>
      <c r="L133" s="14" t="str">
        <f>""</f>
        <v/>
      </c>
      <c r="M133" s="15"/>
      <c r="N133" s="14" t="str">
        <f>""</f>
        <v/>
      </c>
    </row>
    <row r="134" spans="1:14">
      <c r="A134" s="12" t="s">
        <v>7</v>
      </c>
      <c r="B134" s="18" t="str">
        <f>""</f>
        <v/>
      </c>
      <c r="C134" s="18" t="str">
        <f>"Итого по кандидату"</f>
        <v>Итого по кандидату</v>
      </c>
      <c r="D134" s="19">
        <v>10</v>
      </c>
      <c r="E134" s="19">
        <v>0</v>
      </c>
      <c r="F134" s="18" t="str">
        <f>""</f>
        <v/>
      </c>
      <c r="G134" s="19">
        <v>0</v>
      </c>
      <c r="H134" s="20"/>
      <c r="I134" s="19">
        <v>6.06</v>
      </c>
      <c r="J134" s="21"/>
      <c r="K134" s="19">
        <v>0</v>
      </c>
      <c r="L134" s="18" t="str">
        <f>""</f>
        <v/>
      </c>
      <c r="M134" s="19">
        <v>0</v>
      </c>
      <c r="N134" s="18" t="str">
        <f>""</f>
        <v/>
      </c>
    </row>
    <row r="135" spans="1:14">
      <c r="A135" s="13" t="s">
        <v>59</v>
      </c>
      <c r="B135" s="14" t="str">
        <f>"Округ №22 (№ 22)"</f>
        <v>Округ №22 (№ 22)</v>
      </c>
      <c r="C135" s="14" t="str">
        <f>"Ситникова Айгуль Ринатовна"</f>
        <v>Ситникова Айгуль Ринатовна</v>
      </c>
      <c r="D135" s="15">
        <v>38.5</v>
      </c>
      <c r="E135" s="15"/>
      <c r="F135" s="14" t="str">
        <f>""</f>
        <v/>
      </c>
      <c r="G135" s="15"/>
      <c r="H135" s="16"/>
      <c r="I135" s="15">
        <v>35.74</v>
      </c>
      <c r="J135" s="17"/>
      <c r="K135" s="15"/>
      <c r="L135" s="14" t="str">
        <f>""</f>
        <v/>
      </c>
      <c r="M135" s="15"/>
      <c r="N135" s="14" t="str">
        <f>""</f>
        <v/>
      </c>
    </row>
    <row r="136" spans="1:14">
      <c r="A136" s="12" t="s">
        <v>7</v>
      </c>
      <c r="B136" s="18" t="str">
        <f>""</f>
        <v/>
      </c>
      <c r="C136" s="18" t="str">
        <f>"Итого по кандидату"</f>
        <v>Итого по кандидату</v>
      </c>
      <c r="D136" s="19">
        <v>38.5</v>
      </c>
      <c r="E136" s="19">
        <v>0</v>
      </c>
      <c r="F136" s="18" t="str">
        <f>""</f>
        <v/>
      </c>
      <c r="G136" s="19">
        <v>0</v>
      </c>
      <c r="H136" s="20"/>
      <c r="I136" s="19">
        <v>35.74</v>
      </c>
      <c r="J136" s="21"/>
      <c r="K136" s="19">
        <v>0</v>
      </c>
      <c r="L136" s="18" t="str">
        <f>""</f>
        <v/>
      </c>
      <c r="M136" s="19">
        <v>0</v>
      </c>
      <c r="N136" s="18" t="str">
        <f>""</f>
        <v/>
      </c>
    </row>
    <row r="137" spans="1:14" ht="25.5">
      <c r="A137" s="12" t="s">
        <v>7</v>
      </c>
      <c r="B137" s="18" t="str">
        <f>""</f>
        <v/>
      </c>
      <c r="C137" s="18" t="str">
        <f>"Избирательный округ (Округ №22 (№ 22)), всего"</f>
        <v>Избирательный округ (Округ №22 (№ 22)), всего</v>
      </c>
      <c r="D137" s="19">
        <v>163.09</v>
      </c>
      <c r="E137" s="19">
        <v>0</v>
      </c>
      <c r="F137" s="18" t="str">
        <f>""</f>
        <v/>
      </c>
      <c r="G137" s="19">
        <v>80</v>
      </c>
      <c r="H137" s="20"/>
      <c r="I137" s="19">
        <v>149.30000000000001</v>
      </c>
      <c r="J137" s="21"/>
      <c r="K137" s="19">
        <v>0</v>
      </c>
      <c r="L137" s="18" t="str">
        <f>""</f>
        <v/>
      </c>
      <c r="M137" s="19">
        <v>0</v>
      </c>
      <c r="N137" s="18" t="str">
        <f>""</f>
        <v/>
      </c>
    </row>
    <row r="138" spans="1:14">
      <c r="A138" s="13" t="s">
        <v>60</v>
      </c>
      <c r="B138" s="14" t="str">
        <f>"Округ №23 (№ 23)"</f>
        <v>Округ №23 (№ 23)</v>
      </c>
      <c r="C138" s="14" t="str">
        <f>"Баев Алан Тимофеевич"</f>
        <v>Баев Алан Тимофеевич</v>
      </c>
      <c r="D138" s="15">
        <v>92.25</v>
      </c>
      <c r="E138" s="15"/>
      <c r="F138" s="14" t="str">
        <f>""</f>
        <v/>
      </c>
      <c r="G138" s="15"/>
      <c r="H138" s="16"/>
      <c r="I138" s="15">
        <v>73.45</v>
      </c>
      <c r="J138" s="17"/>
      <c r="K138" s="15"/>
      <c r="L138" s="14" t="str">
        <f>""</f>
        <v/>
      </c>
      <c r="M138" s="15"/>
      <c r="N138" s="14" t="str">
        <f>""</f>
        <v/>
      </c>
    </row>
    <row r="139" spans="1:14">
      <c r="A139" s="12" t="s">
        <v>7</v>
      </c>
      <c r="B139" s="18" t="str">
        <f>""</f>
        <v/>
      </c>
      <c r="C139" s="18" t="str">
        <f>"Итого по кандидату"</f>
        <v>Итого по кандидату</v>
      </c>
      <c r="D139" s="19">
        <v>92.25</v>
      </c>
      <c r="E139" s="19">
        <v>0</v>
      </c>
      <c r="F139" s="18" t="str">
        <f>""</f>
        <v/>
      </c>
      <c r="G139" s="19">
        <v>0</v>
      </c>
      <c r="H139" s="20"/>
      <c r="I139" s="19">
        <v>73.45</v>
      </c>
      <c r="J139" s="21"/>
      <c r="K139" s="19">
        <v>0</v>
      </c>
      <c r="L139" s="18" t="str">
        <f>""</f>
        <v/>
      </c>
      <c r="M139" s="19">
        <v>0</v>
      </c>
      <c r="N139" s="18" t="str">
        <f>""</f>
        <v/>
      </c>
    </row>
    <row r="140" spans="1:14">
      <c r="A140" s="13" t="s">
        <v>61</v>
      </c>
      <c r="B140" s="14" t="str">
        <f>"Округ №23 (№ 23)"</f>
        <v>Округ №23 (№ 23)</v>
      </c>
      <c r="C140" s="14" t="str">
        <f>"Бурчевский Виталий Анатольевич"</f>
        <v>Бурчевский Виталий Анатольевич</v>
      </c>
      <c r="D140" s="15">
        <v>52.5</v>
      </c>
      <c r="E140" s="15"/>
      <c r="F140" s="14" t="str">
        <f>""</f>
        <v/>
      </c>
      <c r="G140" s="15"/>
      <c r="H140" s="16"/>
      <c r="I140" s="15">
        <v>52.5</v>
      </c>
      <c r="J140" s="17"/>
      <c r="K140" s="15"/>
      <c r="L140" s="14" t="str">
        <f>""</f>
        <v/>
      </c>
      <c r="M140" s="15"/>
      <c r="N140" s="14" t="str">
        <f>""</f>
        <v/>
      </c>
    </row>
    <row r="141" spans="1:14">
      <c r="A141" s="12" t="s">
        <v>7</v>
      </c>
      <c r="B141" s="18" t="str">
        <f>""</f>
        <v/>
      </c>
      <c r="C141" s="18" t="str">
        <f>"Итого по кандидату"</f>
        <v>Итого по кандидату</v>
      </c>
      <c r="D141" s="19">
        <v>52.5</v>
      </c>
      <c r="E141" s="19">
        <v>0</v>
      </c>
      <c r="F141" s="18" t="str">
        <f>""</f>
        <v/>
      </c>
      <c r="G141" s="19">
        <v>0</v>
      </c>
      <c r="H141" s="20"/>
      <c r="I141" s="19">
        <v>52.5</v>
      </c>
      <c r="J141" s="21"/>
      <c r="K141" s="19">
        <v>0</v>
      </c>
      <c r="L141" s="18" t="str">
        <f>""</f>
        <v/>
      </c>
      <c r="M141" s="19">
        <v>0</v>
      </c>
      <c r="N141" s="18" t="str">
        <f>""</f>
        <v/>
      </c>
    </row>
    <row r="142" spans="1:14">
      <c r="A142" s="13" t="s">
        <v>62</v>
      </c>
      <c r="B142" s="14" t="str">
        <f>"Округ №23 (№ 23)"</f>
        <v>Округ №23 (№ 23)</v>
      </c>
      <c r="C142" s="14" t="str">
        <f>"Куликовская Елена Шотовна"</f>
        <v>Куликовская Елена Шотовна</v>
      </c>
      <c r="D142" s="15">
        <v>15.55</v>
      </c>
      <c r="E142" s="15"/>
      <c r="F142" s="14" t="str">
        <f>""</f>
        <v/>
      </c>
      <c r="G142" s="15"/>
      <c r="H142" s="16"/>
      <c r="I142" s="15">
        <v>15.55</v>
      </c>
      <c r="J142" s="17"/>
      <c r="K142" s="15"/>
      <c r="L142" s="14" t="str">
        <f>""</f>
        <v/>
      </c>
      <c r="M142" s="15"/>
      <c r="N142" s="14" t="str">
        <f>""</f>
        <v/>
      </c>
    </row>
    <row r="143" spans="1:14">
      <c r="A143" s="12" t="s">
        <v>7</v>
      </c>
      <c r="B143" s="18" t="str">
        <f>""</f>
        <v/>
      </c>
      <c r="C143" s="18" t="str">
        <f>"Итого по кандидату"</f>
        <v>Итого по кандидату</v>
      </c>
      <c r="D143" s="19">
        <v>15.55</v>
      </c>
      <c r="E143" s="19">
        <v>0</v>
      </c>
      <c r="F143" s="18" t="str">
        <f>""</f>
        <v/>
      </c>
      <c r="G143" s="19">
        <v>0</v>
      </c>
      <c r="H143" s="20"/>
      <c r="I143" s="19">
        <v>15.55</v>
      </c>
      <c r="J143" s="21"/>
      <c r="K143" s="19">
        <v>0</v>
      </c>
      <c r="L143" s="18" t="str">
        <f>""</f>
        <v/>
      </c>
      <c r="M143" s="19">
        <v>0</v>
      </c>
      <c r="N143" s="18" t="str">
        <f>""</f>
        <v/>
      </c>
    </row>
    <row r="144" spans="1:14">
      <c r="A144" s="13" t="s">
        <v>63</v>
      </c>
      <c r="B144" s="14" t="str">
        <f>"Округ №23 (№ 23)"</f>
        <v>Округ №23 (№ 23)</v>
      </c>
      <c r="C144" s="14" t="str">
        <f>"Прокофьев Виталий Владимирович"</f>
        <v>Прокофьев Виталий Владимирович</v>
      </c>
      <c r="D144" s="15">
        <v>26.8</v>
      </c>
      <c r="E144" s="15"/>
      <c r="F144" s="14" t="str">
        <f>""</f>
        <v/>
      </c>
      <c r="G144" s="15"/>
      <c r="H144" s="16"/>
      <c r="I144" s="15">
        <v>26.6</v>
      </c>
      <c r="J144" s="17"/>
      <c r="K144" s="15"/>
      <c r="L144" s="14" t="str">
        <f>""</f>
        <v/>
      </c>
      <c r="M144" s="15"/>
      <c r="N144" s="14" t="str">
        <f>""</f>
        <v/>
      </c>
    </row>
    <row r="145" spans="1:14">
      <c r="A145" s="12" t="s">
        <v>7</v>
      </c>
      <c r="B145" s="18" t="str">
        <f>""</f>
        <v/>
      </c>
      <c r="C145" s="18" t="str">
        <f>"Итого по кандидату"</f>
        <v>Итого по кандидату</v>
      </c>
      <c r="D145" s="19">
        <v>26.8</v>
      </c>
      <c r="E145" s="19">
        <v>0</v>
      </c>
      <c r="F145" s="18" t="str">
        <f>""</f>
        <v/>
      </c>
      <c r="G145" s="19">
        <v>0</v>
      </c>
      <c r="H145" s="20"/>
      <c r="I145" s="19">
        <v>26.6</v>
      </c>
      <c r="J145" s="21"/>
      <c r="K145" s="19">
        <v>0</v>
      </c>
      <c r="L145" s="18" t="str">
        <f>""</f>
        <v/>
      </c>
      <c r="M145" s="19">
        <v>0</v>
      </c>
      <c r="N145" s="18" t="str">
        <f>""</f>
        <v/>
      </c>
    </row>
    <row r="146" spans="1:14">
      <c r="A146" s="13" t="s">
        <v>64</v>
      </c>
      <c r="B146" s="14" t="str">
        <f>"Округ №23 (№ 23)"</f>
        <v>Округ №23 (№ 23)</v>
      </c>
      <c r="C146" s="14" t="str">
        <f>"Федин Виктор Александрович"</f>
        <v>Федин Виктор Александрович</v>
      </c>
      <c r="D146" s="15">
        <v>30</v>
      </c>
      <c r="E146" s="15"/>
      <c r="F146" s="14" t="str">
        <f>""</f>
        <v/>
      </c>
      <c r="G146" s="15"/>
      <c r="H146" s="16"/>
      <c r="I146" s="15">
        <v>22.43</v>
      </c>
      <c r="J146" s="17"/>
      <c r="K146" s="15"/>
      <c r="L146" s="14" t="str">
        <f>""</f>
        <v/>
      </c>
      <c r="M146" s="15"/>
      <c r="N146" s="14" t="str">
        <f>""</f>
        <v/>
      </c>
    </row>
    <row r="147" spans="1:14">
      <c r="A147" s="12" t="s">
        <v>7</v>
      </c>
      <c r="B147" s="18" t="str">
        <f>""</f>
        <v/>
      </c>
      <c r="C147" s="18" t="str">
        <f>"Итого по кандидату"</f>
        <v>Итого по кандидату</v>
      </c>
      <c r="D147" s="19">
        <v>30</v>
      </c>
      <c r="E147" s="19">
        <v>0</v>
      </c>
      <c r="F147" s="18" t="str">
        <f>""</f>
        <v/>
      </c>
      <c r="G147" s="19">
        <v>0</v>
      </c>
      <c r="H147" s="20"/>
      <c r="I147" s="19">
        <v>22.43</v>
      </c>
      <c r="J147" s="21"/>
      <c r="K147" s="19">
        <v>0</v>
      </c>
      <c r="L147" s="18" t="str">
        <f>""</f>
        <v/>
      </c>
      <c r="M147" s="19">
        <v>0</v>
      </c>
      <c r="N147" s="18" t="str">
        <f>""</f>
        <v/>
      </c>
    </row>
    <row r="148" spans="1:14" ht="25.5">
      <c r="A148" s="12" t="s">
        <v>7</v>
      </c>
      <c r="B148" s="18" t="str">
        <f>""</f>
        <v/>
      </c>
      <c r="C148" s="18" t="str">
        <f>"Избирательный округ (Округ №23 (№ 23)), всего"</f>
        <v>Избирательный округ (Округ №23 (№ 23)), всего</v>
      </c>
      <c r="D148" s="19">
        <v>217.1</v>
      </c>
      <c r="E148" s="19">
        <v>0</v>
      </c>
      <c r="F148" s="18" t="str">
        <f>""</f>
        <v/>
      </c>
      <c r="G148" s="19">
        <v>0</v>
      </c>
      <c r="H148" s="20"/>
      <c r="I148" s="19">
        <v>190.53</v>
      </c>
      <c r="J148" s="21"/>
      <c r="K148" s="19">
        <v>0</v>
      </c>
      <c r="L148" s="18" t="str">
        <f>""</f>
        <v/>
      </c>
      <c r="M148" s="19">
        <v>0</v>
      </c>
      <c r="N148" s="18" t="str">
        <f>""</f>
        <v/>
      </c>
    </row>
    <row r="149" spans="1:14" ht="38.25">
      <c r="A149" s="13" t="s">
        <v>65</v>
      </c>
      <c r="B149" s="14" t="str">
        <f>"Округ №24 (№ 24)"</f>
        <v>Округ №24 (№ 24)</v>
      </c>
      <c r="C149" s="14" t="str">
        <f>"Зеленский Александр Александрович"</f>
        <v>Зеленский Александр Александрович</v>
      </c>
      <c r="D149" s="15">
        <v>53</v>
      </c>
      <c r="E149" s="15">
        <v>50</v>
      </c>
      <c r="F149" s="14" t="str">
        <f>"ООО ""РемСтройМастер"""</f>
        <v>ООО "РемСтройМастер"</v>
      </c>
      <c r="G149" s="15"/>
      <c r="H149" s="16"/>
      <c r="I149" s="15">
        <v>40.299999999999997</v>
      </c>
      <c r="J149" s="17"/>
      <c r="K149" s="15"/>
      <c r="L149" s="14" t="str">
        <f>""</f>
        <v/>
      </c>
      <c r="M149" s="15"/>
      <c r="N149" s="14" t="str">
        <f>""</f>
        <v/>
      </c>
    </row>
    <row r="150" spans="1:14">
      <c r="A150" s="12" t="s">
        <v>7</v>
      </c>
      <c r="B150" s="18" t="str">
        <f>""</f>
        <v/>
      </c>
      <c r="C150" s="18" t="str">
        <f>"Итого по кандидату"</f>
        <v>Итого по кандидату</v>
      </c>
      <c r="D150" s="19">
        <v>53</v>
      </c>
      <c r="E150" s="19">
        <v>50</v>
      </c>
      <c r="F150" s="18" t="str">
        <f>""</f>
        <v/>
      </c>
      <c r="G150" s="19">
        <v>0</v>
      </c>
      <c r="H150" s="20"/>
      <c r="I150" s="19">
        <v>40.299999999999997</v>
      </c>
      <c r="J150" s="21"/>
      <c r="K150" s="19">
        <v>0</v>
      </c>
      <c r="L150" s="18" t="str">
        <f>""</f>
        <v/>
      </c>
      <c r="M150" s="19">
        <v>0</v>
      </c>
      <c r="N150" s="18" t="str">
        <f>""</f>
        <v/>
      </c>
    </row>
    <row r="151" spans="1:14">
      <c r="A151" s="13" t="s">
        <v>66</v>
      </c>
      <c r="B151" s="14" t="str">
        <f>"Округ №24 (№ 24)"</f>
        <v>Округ №24 (№ 24)</v>
      </c>
      <c r="C151" s="14" t="str">
        <f>"Оганесов Артем Гарникович"</f>
        <v>Оганесов Артем Гарникович</v>
      </c>
      <c r="D151" s="15">
        <v>16.239999999999998</v>
      </c>
      <c r="E151" s="15"/>
      <c r="F151" s="14" t="str">
        <f>""</f>
        <v/>
      </c>
      <c r="G151" s="15"/>
      <c r="H151" s="16"/>
      <c r="I151" s="15">
        <v>16.239999999999998</v>
      </c>
      <c r="J151" s="17"/>
      <c r="K151" s="15"/>
      <c r="L151" s="14" t="str">
        <f>""</f>
        <v/>
      </c>
      <c r="M151" s="15"/>
      <c r="N151" s="14" t="str">
        <f>""</f>
        <v/>
      </c>
    </row>
    <row r="152" spans="1:14">
      <c r="A152" s="12" t="s">
        <v>7</v>
      </c>
      <c r="B152" s="18" t="str">
        <f>""</f>
        <v/>
      </c>
      <c r="C152" s="18" t="str">
        <f>"Итого по кандидату"</f>
        <v>Итого по кандидату</v>
      </c>
      <c r="D152" s="19">
        <v>16.239999999999998</v>
      </c>
      <c r="E152" s="19">
        <v>0</v>
      </c>
      <c r="F152" s="18" t="str">
        <f>""</f>
        <v/>
      </c>
      <c r="G152" s="19">
        <v>0</v>
      </c>
      <c r="H152" s="20"/>
      <c r="I152" s="19">
        <v>16.239999999999998</v>
      </c>
      <c r="J152" s="21"/>
      <c r="K152" s="19">
        <v>0</v>
      </c>
      <c r="L152" s="18" t="str">
        <f>""</f>
        <v/>
      </c>
      <c r="M152" s="19">
        <v>0</v>
      </c>
      <c r="N152" s="18" t="str">
        <f>""</f>
        <v/>
      </c>
    </row>
    <row r="153" spans="1:14">
      <c r="A153" s="13" t="s">
        <v>67</v>
      </c>
      <c r="B153" s="14" t="str">
        <f>"Округ №24 (№ 24)"</f>
        <v>Округ №24 (№ 24)</v>
      </c>
      <c r="C153" s="14" t="str">
        <f>"Пивцайкин Николай Владимирович"</f>
        <v>Пивцайкин Николай Владимирович</v>
      </c>
      <c r="D153" s="15">
        <v>5.55</v>
      </c>
      <c r="E153" s="15"/>
      <c r="F153" s="14" t="str">
        <f>""</f>
        <v/>
      </c>
      <c r="G153" s="15"/>
      <c r="H153" s="16"/>
      <c r="I153" s="15">
        <v>5.25</v>
      </c>
      <c r="J153" s="17"/>
      <c r="K153" s="15"/>
      <c r="L153" s="14" t="str">
        <f>""</f>
        <v/>
      </c>
      <c r="M153" s="15"/>
      <c r="N153" s="14" t="str">
        <f>""</f>
        <v/>
      </c>
    </row>
    <row r="154" spans="1:14">
      <c r="A154" s="12" t="s">
        <v>7</v>
      </c>
      <c r="B154" s="18" t="str">
        <f>""</f>
        <v/>
      </c>
      <c r="C154" s="18" t="str">
        <f>"Итого по кандидату"</f>
        <v>Итого по кандидату</v>
      </c>
      <c r="D154" s="19">
        <v>5.55</v>
      </c>
      <c r="E154" s="19">
        <v>0</v>
      </c>
      <c r="F154" s="18" t="str">
        <f>""</f>
        <v/>
      </c>
      <c r="G154" s="19">
        <v>0</v>
      </c>
      <c r="H154" s="20"/>
      <c r="I154" s="19">
        <v>5.25</v>
      </c>
      <c r="J154" s="21"/>
      <c r="K154" s="19">
        <v>0</v>
      </c>
      <c r="L154" s="18" t="str">
        <f>""</f>
        <v/>
      </c>
      <c r="M154" s="19">
        <v>0</v>
      </c>
      <c r="N154" s="18" t="str">
        <f>""</f>
        <v/>
      </c>
    </row>
    <row r="155" spans="1:14">
      <c r="A155" s="13" t="s">
        <v>68</v>
      </c>
      <c r="B155" s="14" t="str">
        <f>"Округ №24 (№ 24)"</f>
        <v>Округ №24 (№ 24)</v>
      </c>
      <c r="C155" s="14" t="str">
        <f>"Пилецкая Светлана Владимировна"</f>
        <v>Пилецкая Светлана Владимировна</v>
      </c>
      <c r="D155" s="15">
        <v>2.5499999999999998</v>
      </c>
      <c r="E155" s="15"/>
      <c r="F155" s="14" t="str">
        <f>""</f>
        <v/>
      </c>
      <c r="G155" s="15"/>
      <c r="H155" s="16"/>
      <c r="I155" s="15">
        <v>26.15</v>
      </c>
      <c r="J155" s="17"/>
      <c r="K155" s="15"/>
      <c r="L155" s="14" t="str">
        <f>""</f>
        <v/>
      </c>
      <c r="M155" s="15"/>
      <c r="N155" s="14" t="str">
        <f>""</f>
        <v/>
      </c>
    </row>
    <row r="156" spans="1:14">
      <c r="A156" s="12" t="s">
        <v>7</v>
      </c>
      <c r="B156" s="18" t="str">
        <f>""</f>
        <v/>
      </c>
      <c r="C156" s="18" t="str">
        <f>"Итого по кандидату"</f>
        <v>Итого по кандидату</v>
      </c>
      <c r="D156" s="19">
        <v>2.5499999999999998</v>
      </c>
      <c r="E156" s="19">
        <v>0</v>
      </c>
      <c r="F156" s="18" t="str">
        <f>""</f>
        <v/>
      </c>
      <c r="G156" s="19">
        <v>0</v>
      </c>
      <c r="H156" s="20"/>
      <c r="I156" s="19">
        <v>26.15</v>
      </c>
      <c r="J156" s="21"/>
      <c r="K156" s="19">
        <v>0</v>
      </c>
      <c r="L156" s="18" t="str">
        <f>""</f>
        <v/>
      </c>
      <c r="M156" s="19">
        <v>0</v>
      </c>
      <c r="N156" s="18" t="str">
        <f>""</f>
        <v/>
      </c>
    </row>
    <row r="157" spans="1:14">
      <c r="A157" s="13" t="s">
        <v>69</v>
      </c>
      <c r="B157" s="14" t="str">
        <f>"Округ №24 (№ 24)"</f>
        <v>Округ №24 (№ 24)</v>
      </c>
      <c r="C157" s="14" t="str">
        <f>"Саитмаметов Ахмет Кирамович"</f>
        <v>Саитмаметов Ахмет Кирамович</v>
      </c>
      <c r="D157" s="15">
        <v>5</v>
      </c>
      <c r="E157" s="15"/>
      <c r="F157" s="14" t="str">
        <f>""</f>
        <v/>
      </c>
      <c r="G157" s="15"/>
      <c r="H157" s="16"/>
      <c r="I157" s="15">
        <v>5</v>
      </c>
      <c r="J157" s="17"/>
      <c r="K157" s="15"/>
      <c r="L157" s="14" t="str">
        <f>""</f>
        <v/>
      </c>
      <c r="M157" s="15"/>
      <c r="N157" s="14" t="str">
        <f>""</f>
        <v/>
      </c>
    </row>
    <row r="158" spans="1:14">
      <c r="A158" s="12" t="s">
        <v>7</v>
      </c>
      <c r="B158" s="18" t="str">
        <f>""</f>
        <v/>
      </c>
      <c r="C158" s="18" t="str">
        <f>"Итого по кандидату"</f>
        <v>Итого по кандидату</v>
      </c>
      <c r="D158" s="19">
        <v>5</v>
      </c>
      <c r="E158" s="19">
        <v>0</v>
      </c>
      <c r="F158" s="18" t="str">
        <f>""</f>
        <v/>
      </c>
      <c r="G158" s="19">
        <v>0</v>
      </c>
      <c r="H158" s="20"/>
      <c r="I158" s="19">
        <v>5</v>
      </c>
      <c r="J158" s="21"/>
      <c r="K158" s="19">
        <v>0</v>
      </c>
      <c r="L158" s="18" t="str">
        <f>""</f>
        <v/>
      </c>
      <c r="M158" s="19">
        <v>0</v>
      </c>
      <c r="N158" s="18" t="str">
        <f>""</f>
        <v/>
      </c>
    </row>
    <row r="159" spans="1:14" ht="25.5">
      <c r="A159" s="12" t="s">
        <v>7</v>
      </c>
      <c r="B159" s="18" t="str">
        <f>""</f>
        <v/>
      </c>
      <c r="C159" s="18" t="str">
        <f>"Избирательный округ (Округ №24 (№ 24)), всего"</f>
        <v>Избирательный округ (Округ №24 (№ 24)), всего</v>
      </c>
      <c r="D159" s="19">
        <v>82.34</v>
      </c>
      <c r="E159" s="19">
        <v>50</v>
      </c>
      <c r="F159" s="18" t="str">
        <f>""</f>
        <v/>
      </c>
      <c r="G159" s="19">
        <v>0</v>
      </c>
      <c r="H159" s="20"/>
      <c r="I159" s="19">
        <v>92.94</v>
      </c>
      <c r="J159" s="21"/>
      <c r="K159" s="19">
        <v>0</v>
      </c>
      <c r="L159" s="18" t="str">
        <f>""</f>
        <v/>
      </c>
      <c r="M159" s="19">
        <v>0</v>
      </c>
      <c r="N159" s="18" t="str">
        <f>""</f>
        <v/>
      </c>
    </row>
    <row r="160" spans="1:14">
      <c r="A160" s="13" t="s">
        <v>70</v>
      </c>
      <c r="B160" s="14" t="str">
        <f>"Округ №25 (№ 25)"</f>
        <v>Округ №25 (№ 25)</v>
      </c>
      <c r="C160" s="14" t="str">
        <f>"Диваева Ксения Викторовна"</f>
        <v>Диваева Ксения Викторовна</v>
      </c>
      <c r="D160" s="15">
        <v>0.3</v>
      </c>
      <c r="E160" s="15"/>
      <c r="F160" s="14" t="str">
        <f>""</f>
        <v/>
      </c>
      <c r="G160" s="15"/>
      <c r="H160" s="16"/>
      <c r="I160" s="15">
        <v>0.3</v>
      </c>
      <c r="J160" s="17"/>
      <c r="K160" s="15"/>
      <c r="L160" s="14" t="str">
        <f>""</f>
        <v/>
      </c>
      <c r="M160" s="15"/>
      <c r="N160" s="14" t="str">
        <f>""</f>
        <v/>
      </c>
    </row>
    <row r="161" spans="1:14">
      <c r="A161" s="12" t="s">
        <v>7</v>
      </c>
      <c r="B161" s="18" t="str">
        <f>""</f>
        <v/>
      </c>
      <c r="C161" s="18" t="str">
        <f>"Итого по кандидату"</f>
        <v>Итого по кандидату</v>
      </c>
      <c r="D161" s="19">
        <v>0.3</v>
      </c>
      <c r="E161" s="19">
        <v>0</v>
      </c>
      <c r="F161" s="18" t="str">
        <f>""</f>
        <v/>
      </c>
      <c r="G161" s="19">
        <v>0</v>
      </c>
      <c r="H161" s="20"/>
      <c r="I161" s="19">
        <v>0.3</v>
      </c>
      <c r="J161" s="21"/>
      <c r="K161" s="19">
        <v>0</v>
      </c>
      <c r="L161" s="18" t="str">
        <f>""</f>
        <v/>
      </c>
      <c r="M161" s="19">
        <v>0</v>
      </c>
      <c r="N161" s="18" t="str">
        <f>""</f>
        <v/>
      </c>
    </row>
    <row r="162" spans="1:14">
      <c r="A162" s="13" t="s">
        <v>71</v>
      </c>
      <c r="B162" s="14" t="str">
        <f>"Округ №25 (№ 25)"</f>
        <v>Округ №25 (№ 25)</v>
      </c>
      <c r="C162" s="14" t="str">
        <f>"Чупин Алексей Викторович"</f>
        <v>Чупин Алексей Викторович</v>
      </c>
      <c r="D162" s="15">
        <v>49</v>
      </c>
      <c r="E162" s="15"/>
      <c r="F162" s="14" t="str">
        <f>""</f>
        <v/>
      </c>
      <c r="G162" s="15"/>
      <c r="H162" s="16"/>
      <c r="I162" s="15">
        <v>49</v>
      </c>
      <c r="J162" s="17"/>
      <c r="K162" s="15"/>
      <c r="L162" s="14" t="str">
        <f>""</f>
        <v/>
      </c>
      <c r="M162" s="15"/>
      <c r="N162" s="14" t="str">
        <f>""</f>
        <v/>
      </c>
    </row>
    <row r="163" spans="1:14">
      <c r="A163" s="12" t="s">
        <v>7</v>
      </c>
      <c r="B163" s="18" t="str">
        <f>""</f>
        <v/>
      </c>
      <c r="C163" s="18" t="str">
        <f>"Итого по кандидату"</f>
        <v>Итого по кандидату</v>
      </c>
      <c r="D163" s="19">
        <v>49</v>
      </c>
      <c r="E163" s="19">
        <v>0</v>
      </c>
      <c r="F163" s="18" t="str">
        <f>""</f>
        <v/>
      </c>
      <c r="G163" s="19">
        <v>0</v>
      </c>
      <c r="H163" s="20"/>
      <c r="I163" s="19">
        <v>49</v>
      </c>
      <c r="J163" s="21"/>
      <c r="K163" s="19">
        <v>0</v>
      </c>
      <c r="L163" s="18" t="str">
        <f>""</f>
        <v/>
      </c>
      <c r="M163" s="19">
        <v>0</v>
      </c>
      <c r="N163" s="18" t="str">
        <f>""</f>
        <v/>
      </c>
    </row>
    <row r="164" spans="1:14" ht="25.5">
      <c r="A164" s="12" t="s">
        <v>7</v>
      </c>
      <c r="B164" s="18" t="str">
        <f>""</f>
        <v/>
      </c>
      <c r="C164" s="18" t="str">
        <f>"Избирательный округ (Округ №25 (№ 25)), всего"</f>
        <v>Избирательный округ (Округ №25 (№ 25)), всего</v>
      </c>
      <c r="D164" s="19">
        <v>49.3</v>
      </c>
      <c r="E164" s="19">
        <v>0</v>
      </c>
      <c r="F164" s="18" t="str">
        <f>""</f>
        <v/>
      </c>
      <c r="G164" s="19">
        <v>0</v>
      </c>
      <c r="H164" s="20"/>
      <c r="I164" s="19">
        <v>49.3</v>
      </c>
      <c r="J164" s="21"/>
      <c r="K164" s="19">
        <v>0</v>
      </c>
      <c r="L164" s="18" t="str">
        <f>""</f>
        <v/>
      </c>
      <c r="M164" s="19">
        <v>0</v>
      </c>
      <c r="N164" s="18" t="str">
        <f>""</f>
        <v/>
      </c>
    </row>
    <row r="165" spans="1:14">
      <c r="A165" s="13" t="s">
        <v>72</v>
      </c>
      <c r="B165" s="14" t="str">
        <f>"Округ №3 (№ 3)"</f>
        <v>Округ №3 (№ 3)</v>
      </c>
      <c r="C165" s="14" t="str">
        <f>"Верещагина Ольга Владиславовна"</f>
        <v>Верещагина Ольга Владиславовна</v>
      </c>
      <c r="D165" s="15">
        <v>0.3</v>
      </c>
      <c r="E165" s="15"/>
      <c r="F165" s="14" t="str">
        <f>""</f>
        <v/>
      </c>
      <c r="G165" s="15"/>
      <c r="H165" s="16"/>
      <c r="I165" s="15">
        <v>0.3</v>
      </c>
      <c r="J165" s="17"/>
      <c r="K165" s="15"/>
      <c r="L165" s="14" t="str">
        <f>""</f>
        <v/>
      </c>
      <c r="M165" s="15"/>
      <c r="N165" s="14" t="str">
        <f>""</f>
        <v/>
      </c>
    </row>
    <row r="166" spans="1:14">
      <c r="A166" s="12" t="s">
        <v>7</v>
      </c>
      <c r="B166" s="18" t="str">
        <f>""</f>
        <v/>
      </c>
      <c r="C166" s="18" t="str">
        <f>"Итого по кандидату"</f>
        <v>Итого по кандидату</v>
      </c>
      <c r="D166" s="19">
        <v>0.3</v>
      </c>
      <c r="E166" s="19">
        <v>0</v>
      </c>
      <c r="F166" s="18" t="str">
        <f>""</f>
        <v/>
      </c>
      <c r="G166" s="19">
        <v>0</v>
      </c>
      <c r="H166" s="20"/>
      <c r="I166" s="19">
        <v>0.3</v>
      </c>
      <c r="J166" s="21"/>
      <c r="K166" s="19">
        <v>0</v>
      </c>
      <c r="L166" s="18" t="str">
        <f>""</f>
        <v/>
      </c>
      <c r="M166" s="19">
        <v>0</v>
      </c>
      <c r="N166" s="18" t="str">
        <f>""</f>
        <v/>
      </c>
    </row>
    <row r="167" spans="1:14" ht="140.25">
      <c r="A167" s="13" t="s">
        <v>73</v>
      </c>
      <c r="B167" s="14" t="str">
        <f>"Округ №3 (№ 3)"</f>
        <v>Округ №3 (№ 3)</v>
      </c>
      <c r="C167" s="14" t="str">
        <f>"Винников Игорь Викторович"</f>
        <v>Винников Игорь Викторович</v>
      </c>
      <c r="D167" s="15">
        <v>92.07</v>
      </c>
      <c r="E167" s="15"/>
      <c r="F167" s="14" t="str">
        <f>""</f>
        <v/>
      </c>
      <c r="G167" s="15"/>
      <c r="H167" s="16"/>
      <c r="I167" s="15">
        <v>92.07</v>
      </c>
      <c r="J167" s="17" t="s">
        <v>74</v>
      </c>
      <c r="K167" s="15">
        <v>89</v>
      </c>
      <c r="L167" s="14" t="str">
        <f>"Израсходовано на предвыборную агитацию. Через редакции периодических печатных изданий"</f>
        <v>Израсходовано на предвыборную агитацию. Через редакции периодических печатных изданий</v>
      </c>
      <c r="M167" s="15"/>
      <c r="N167" s="14" t="str">
        <f>""</f>
        <v/>
      </c>
    </row>
    <row r="168" spans="1:14">
      <c r="A168" s="12" t="s">
        <v>7</v>
      </c>
      <c r="B168" s="18" t="str">
        <f>""</f>
        <v/>
      </c>
      <c r="C168" s="18" t="str">
        <f>"Итого по кандидату"</f>
        <v>Итого по кандидату</v>
      </c>
      <c r="D168" s="19">
        <v>92.07</v>
      </c>
      <c r="E168" s="19">
        <v>0</v>
      </c>
      <c r="F168" s="18" t="str">
        <f>""</f>
        <v/>
      </c>
      <c r="G168" s="19">
        <v>0</v>
      </c>
      <c r="H168" s="20"/>
      <c r="I168" s="19">
        <v>92.07</v>
      </c>
      <c r="J168" s="21"/>
      <c r="K168" s="19">
        <v>89</v>
      </c>
      <c r="L168" s="18" t="str">
        <f>""</f>
        <v/>
      </c>
      <c r="M168" s="19">
        <v>0</v>
      </c>
      <c r="N168" s="18" t="str">
        <f>""</f>
        <v/>
      </c>
    </row>
    <row r="169" spans="1:14" ht="51">
      <c r="A169" s="13" t="s">
        <v>75</v>
      </c>
      <c r="B169" s="14" t="str">
        <f>"Округ №3 (№ 3)"</f>
        <v>Округ №3 (№ 3)</v>
      </c>
      <c r="C169" s="14" t="str">
        <f>"Гончаров Андрей Георгиевич"</f>
        <v>Гончаров Андрей Георгиевич</v>
      </c>
      <c r="D169" s="15">
        <v>46.07</v>
      </c>
      <c r="E169" s="15"/>
      <c r="F169" s="14" t="str">
        <f>""</f>
        <v/>
      </c>
      <c r="G169" s="15"/>
      <c r="H169" s="16"/>
      <c r="I169" s="15">
        <v>31.07</v>
      </c>
      <c r="J169" s="17"/>
      <c r="K169" s="15"/>
      <c r="L169" s="14" t="str">
        <f>""</f>
        <v/>
      </c>
      <c r="M169" s="15">
        <v>15</v>
      </c>
      <c r="N169" s="14" t="str">
        <f>"Возврат ошибочно зачисленных средств"</f>
        <v>Возврат ошибочно зачисленных средств</v>
      </c>
    </row>
    <row r="170" spans="1:14">
      <c r="A170" s="12" t="s">
        <v>7</v>
      </c>
      <c r="B170" s="18" t="str">
        <f>""</f>
        <v/>
      </c>
      <c r="C170" s="18" t="str">
        <f>"Итого по кандидату"</f>
        <v>Итого по кандидату</v>
      </c>
      <c r="D170" s="19">
        <v>46.07</v>
      </c>
      <c r="E170" s="19">
        <v>0</v>
      </c>
      <c r="F170" s="18" t="str">
        <f>""</f>
        <v/>
      </c>
      <c r="G170" s="19">
        <v>0</v>
      </c>
      <c r="H170" s="20"/>
      <c r="I170" s="19">
        <v>31.07</v>
      </c>
      <c r="J170" s="21"/>
      <c r="K170" s="19">
        <v>0</v>
      </c>
      <c r="L170" s="18" t="str">
        <f>""</f>
        <v/>
      </c>
      <c r="M170" s="19">
        <v>15</v>
      </c>
      <c r="N170" s="18" t="str">
        <f>""</f>
        <v/>
      </c>
    </row>
    <row r="171" spans="1:14">
      <c r="A171" s="13" t="s">
        <v>76</v>
      </c>
      <c r="B171" s="14" t="str">
        <f>"Округ №3 (№ 3)"</f>
        <v>Округ №3 (№ 3)</v>
      </c>
      <c r="C171" s="14" t="str">
        <f>"Клыченко Ольга Анатольевна"</f>
        <v>Клыченко Ольга Анатольевна</v>
      </c>
      <c r="D171" s="15">
        <v>81</v>
      </c>
      <c r="E171" s="15"/>
      <c r="F171" s="14" t="str">
        <f>""</f>
        <v/>
      </c>
      <c r="G171" s="15">
        <v>80</v>
      </c>
      <c r="H171" s="16">
        <v>2</v>
      </c>
      <c r="I171" s="15">
        <v>76.02</v>
      </c>
      <c r="J171" s="17"/>
      <c r="K171" s="15"/>
      <c r="L171" s="14" t="str">
        <f>""</f>
        <v/>
      </c>
      <c r="M171" s="15"/>
      <c r="N171" s="14" t="str">
        <f>""</f>
        <v/>
      </c>
    </row>
    <row r="172" spans="1:14">
      <c r="A172" s="12" t="s">
        <v>7</v>
      </c>
      <c r="B172" s="18" t="str">
        <f>""</f>
        <v/>
      </c>
      <c r="C172" s="18" t="str">
        <f>"Итого по кандидату"</f>
        <v>Итого по кандидату</v>
      </c>
      <c r="D172" s="19">
        <v>81</v>
      </c>
      <c r="E172" s="19">
        <v>0</v>
      </c>
      <c r="F172" s="18" t="str">
        <f>""</f>
        <v/>
      </c>
      <c r="G172" s="19">
        <v>80</v>
      </c>
      <c r="H172" s="20"/>
      <c r="I172" s="19">
        <v>76.02</v>
      </c>
      <c r="J172" s="21"/>
      <c r="K172" s="19">
        <v>0</v>
      </c>
      <c r="L172" s="18" t="str">
        <f>""</f>
        <v/>
      </c>
      <c r="M172" s="19">
        <v>0</v>
      </c>
      <c r="N172" s="18" t="str">
        <f>""</f>
        <v/>
      </c>
    </row>
    <row r="173" spans="1:14">
      <c r="A173" s="13" t="s">
        <v>77</v>
      </c>
      <c r="B173" s="14" t="str">
        <f>"Округ №3 (№ 3)"</f>
        <v>Округ №3 (№ 3)</v>
      </c>
      <c r="C173" s="14" t="str">
        <f>"Слесарева Татьяна Михайловна"</f>
        <v>Слесарева Татьяна Михайловна</v>
      </c>
      <c r="D173" s="15">
        <v>27.75</v>
      </c>
      <c r="E173" s="15"/>
      <c r="F173" s="14" t="str">
        <f>""</f>
        <v/>
      </c>
      <c r="G173" s="15"/>
      <c r="H173" s="16"/>
      <c r="I173" s="15">
        <v>27.75</v>
      </c>
      <c r="J173" s="17"/>
      <c r="K173" s="15"/>
      <c r="L173" s="14" t="str">
        <f>""</f>
        <v/>
      </c>
      <c r="M173" s="15"/>
      <c r="N173" s="14" t="str">
        <f>""</f>
        <v/>
      </c>
    </row>
    <row r="174" spans="1:14">
      <c r="A174" s="12" t="s">
        <v>7</v>
      </c>
      <c r="B174" s="18" t="str">
        <f>""</f>
        <v/>
      </c>
      <c r="C174" s="18" t="str">
        <f>"Итого по кандидату"</f>
        <v>Итого по кандидату</v>
      </c>
      <c r="D174" s="19">
        <v>27.75</v>
      </c>
      <c r="E174" s="19">
        <v>0</v>
      </c>
      <c r="F174" s="18" t="str">
        <f>""</f>
        <v/>
      </c>
      <c r="G174" s="19">
        <v>0</v>
      </c>
      <c r="H174" s="20"/>
      <c r="I174" s="19">
        <v>27.75</v>
      </c>
      <c r="J174" s="21"/>
      <c r="K174" s="19">
        <v>0</v>
      </c>
      <c r="L174" s="18" t="str">
        <f>""</f>
        <v/>
      </c>
      <c r="M174" s="19">
        <v>0</v>
      </c>
      <c r="N174" s="18" t="str">
        <f>""</f>
        <v/>
      </c>
    </row>
    <row r="175" spans="1:14" ht="25.5">
      <c r="A175" s="12" t="s">
        <v>7</v>
      </c>
      <c r="B175" s="18" t="str">
        <f>""</f>
        <v/>
      </c>
      <c r="C175" s="18" t="str">
        <f>"Избирательный округ (Округ №3 (№ 3)), всего"</f>
        <v>Избирательный округ (Округ №3 (№ 3)), всего</v>
      </c>
      <c r="D175" s="19">
        <v>247.19</v>
      </c>
      <c r="E175" s="19">
        <v>0</v>
      </c>
      <c r="F175" s="18" t="str">
        <f>""</f>
        <v/>
      </c>
      <c r="G175" s="19">
        <v>80</v>
      </c>
      <c r="H175" s="20"/>
      <c r="I175" s="19">
        <v>227.21</v>
      </c>
      <c r="J175" s="21"/>
      <c r="K175" s="19">
        <v>89</v>
      </c>
      <c r="L175" s="18" t="str">
        <f>""</f>
        <v/>
      </c>
      <c r="M175" s="19">
        <v>15</v>
      </c>
      <c r="N175" s="18" t="str">
        <f>""</f>
        <v/>
      </c>
    </row>
    <row r="176" spans="1:14">
      <c r="A176" s="13" t="s">
        <v>78</v>
      </c>
      <c r="B176" s="14" t="str">
        <f>"Округ №4 (№ 4)"</f>
        <v>Округ №4 (№ 4)</v>
      </c>
      <c r="C176" s="14" t="str">
        <f>"Дудич Александр Иванович"</f>
        <v>Дудич Александр Иванович</v>
      </c>
      <c r="D176" s="15">
        <v>80</v>
      </c>
      <c r="E176" s="15"/>
      <c r="F176" s="14" t="str">
        <f>""</f>
        <v/>
      </c>
      <c r="G176" s="15">
        <v>80</v>
      </c>
      <c r="H176" s="16">
        <v>2</v>
      </c>
      <c r="I176" s="15">
        <v>75.92</v>
      </c>
      <c r="J176" s="17"/>
      <c r="K176" s="15"/>
      <c r="L176" s="14" t="str">
        <f>""</f>
        <v/>
      </c>
      <c r="M176" s="15"/>
      <c r="N176" s="14" t="str">
        <f>""</f>
        <v/>
      </c>
    </row>
    <row r="177" spans="1:14">
      <c r="A177" s="12" t="s">
        <v>7</v>
      </c>
      <c r="B177" s="18" t="str">
        <f>""</f>
        <v/>
      </c>
      <c r="C177" s="18" t="str">
        <f>"Итого по кандидату"</f>
        <v>Итого по кандидату</v>
      </c>
      <c r="D177" s="19">
        <v>80</v>
      </c>
      <c r="E177" s="19">
        <v>0</v>
      </c>
      <c r="F177" s="18" t="str">
        <f>""</f>
        <v/>
      </c>
      <c r="G177" s="19">
        <v>80</v>
      </c>
      <c r="H177" s="20"/>
      <c r="I177" s="19">
        <v>75.92</v>
      </c>
      <c r="J177" s="21"/>
      <c r="K177" s="19">
        <v>0</v>
      </c>
      <c r="L177" s="18" t="str">
        <f>""</f>
        <v/>
      </c>
      <c r="M177" s="19">
        <v>0</v>
      </c>
      <c r="N177" s="18" t="str">
        <f>""</f>
        <v/>
      </c>
    </row>
    <row r="178" spans="1:14">
      <c r="A178" s="13" t="s">
        <v>79</v>
      </c>
      <c r="B178" s="14" t="str">
        <f>"Округ №4 (№ 4)"</f>
        <v>Округ №4 (№ 4)</v>
      </c>
      <c r="C178" s="14" t="str">
        <f>"Лира Андрей Викторович"</f>
        <v>Лира Андрей Викторович</v>
      </c>
      <c r="D178" s="15">
        <v>0.3</v>
      </c>
      <c r="E178" s="15"/>
      <c r="F178" s="14" t="str">
        <f>""</f>
        <v/>
      </c>
      <c r="G178" s="15"/>
      <c r="H178" s="16"/>
      <c r="I178" s="15">
        <v>0.3</v>
      </c>
      <c r="J178" s="17"/>
      <c r="K178" s="15"/>
      <c r="L178" s="14" t="str">
        <f>""</f>
        <v/>
      </c>
      <c r="M178" s="15"/>
      <c r="N178" s="14" t="str">
        <f>""</f>
        <v/>
      </c>
    </row>
    <row r="179" spans="1:14">
      <c r="A179" s="12" t="s">
        <v>7</v>
      </c>
      <c r="B179" s="18" t="str">
        <f>""</f>
        <v/>
      </c>
      <c r="C179" s="18" t="str">
        <f>"Итого по кандидату"</f>
        <v>Итого по кандидату</v>
      </c>
      <c r="D179" s="19">
        <v>0.3</v>
      </c>
      <c r="E179" s="19">
        <v>0</v>
      </c>
      <c r="F179" s="18" t="str">
        <f>""</f>
        <v/>
      </c>
      <c r="G179" s="19">
        <v>0</v>
      </c>
      <c r="H179" s="20"/>
      <c r="I179" s="19">
        <v>0.3</v>
      </c>
      <c r="J179" s="21"/>
      <c r="K179" s="19">
        <v>0</v>
      </c>
      <c r="L179" s="18" t="str">
        <f>""</f>
        <v/>
      </c>
      <c r="M179" s="19">
        <v>0</v>
      </c>
      <c r="N179" s="18" t="str">
        <f>""</f>
        <v/>
      </c>
    </row>
    <row r="180" spans="1:14">
      <c r="A180" s="13" t="s">
        <v>80</v>
      </c>
      <c r="B180" s="14" t="str">
        <f>"Округ №4 (№ 4)"</f>
        <v>Округ №4 (№ 4)</v>
      </c>
      <c r="C180" s="14" t="str">
        <f>"Мацин Иван Иванович"</f>
        <v>Мацин Иван Иванович</v>
      </c>
      <c r="D180" s="15">
        <v>50.19</v>
      </c>
      <c r="E180" s="15"/>
      <c r="F180" s="14" t="str">
        <f>""</f>
        <v/>
      </c>
      <c r="G180" s="15"/>
      <c r="H180" s="16"/>
      <c r="I180" s="15">
        <v>48.94</v>
      </c>
      <c r="J180" s="17"/>
      <c r="K180" s="15"/>
      <c r="L180" s="14" t="str">
        <f>""</f>
        <v/>
      </c>
      <c r="M180" s="15"/>
      <c r="N180" s="14" t="str">
        <f>""</f>
        <v/>
      </c>
    </row>
    <row r="181" spans="1:14">
      <c r="A181" s="12" t="s">
        <v>7</v>
      </c>
      <c r="B181" s="18" t="str">
        <f>""</f>
        <v/>
      </c>
      <c r="C181" s="18" t="str">
        <f>"Итого по кандидату"</f>
        <v>Итого по кандидату</v>
      </c>
      <c r="D181" s="19">
        <v>50.19</v>
      </c>
      <c r="E181" s="19">
        <v>0</v>
      </c>
      <c r="F181" s="18" t="str">
        <f>""</f>
        <v/>
      </c>
      <c r="G181" s="19">
        <v>0</v>
      </c>
      <c r="H181" s="20"/>
      <c r="I181" s="19">
        <v>48.94</v>
      </c>
      <c r="J181" s="21"/>
      <c r="K181" s="19">
        <v>0</v>
      </c>
      <c r="L181" s="18" t="str">
        <f>""</f>
        <v/>
      </c>
      <c r="M181" s="19">
        <v>0</v>
      </c>
      <c r="N181" s="18" t="str">
        <f>""</f>
        <v/>
      </c>
    </row>
    <row r="182" spans="1:14">
      <c r="A182" s="13" t="s">
        <v>81</v>
      </c>
      <c r="B182" s="14" t="str">
        <f>"Округ №4 (№ 4)"</f>
        <v>Округ №4 (№ 4)</v>
      </c>
      <c r="C182" s="14" t="str">
        <f>"Пищугин Андрей Викторович"</f>
        <v>Пищугин Андрей Викторович</v>
      </c>
      <c r="D182" s="15">
        <v>26.51</v>
      </c>
      <c r="E182" s="15"/>
      <c r="F182" s="14" t="str">
        <f>""</f>
        <v/>
      </c>
      <c r="G182" s="15"/>
      <c r="H182" s="16"/>
      <c r="I182" s="15">
        <v>25.46</v>
      </c>
      <c r="J182" s="17"/>
      <c r="K182" s="15"/>
      <c r="L182" s="14" t="str">
        <f>""</f>
        <v/>
      </c>
      <c r="M182" s="15"/>
      <c r="N182" s="14" t="str">
        <f>""</f>
        <v/>
      </c>
    </row>
    <row r="183" spans="1:14">
      <c r="A183" s="12" t="s">
        <v>7</v>
      </c>
      <c r="B183" s="18" t="str">
        <f>""</f>
        <v/>
      </c>
      <c r="C183" s="18" t="str">
        <f>"Итого по кандидату"</f>
        <v>Итого по кандидату</v>
      </c>
      <c r="D183" s="19">
        <v>26.51</v>
      </c>
      <c r="E183" s="19">
        <v>0</v>
      </c>
      <c r="F183" s="18" t="str">
        <f>""</f>
        <v/>
      </c>
      <c r="G183" s="19">
        <v>0</v>
      </c>
      <c r="H183" s="20"/>
      <c r="I183" s="19">
        <v>25.46</v>
      </c>
      <c r="J183" s="21"/>
      <c r="K183" s="19">
        <v>0</v>
      </c>
      <c r="L183" s="18" t="str">
        <f>""</f>
        <v/>
      </c>
      <c r="M183" s="19">
        <v>0</v>
      </c>
      <c r="N183" s="18" t="str">
        <f>""</f>
        <v/>
      </c>
    </row>
    <row r="184" spans="1:14">
      <c r="A184" s="13" t="s">
        <v>82</v>
      </c>
      <c r="B184" s="14" t="str">
        <f>"Округ №4 (№ 4)"</f>
        <v>Округ №4 (№ 4)</v>
      </c>
      <c r="C184" s="14" t="str">
        <f>"Фахертдинов Миргалим Хисматович"</f>
        <v>Фахертдинов Миргалим Хисматович</v>
      </c>
      <c r="D184" s="15">
        <v>0.2</v>
      </c>
      <c r="E184" s="15"/>
      <c r="F184" s="14" t="str">
        <f>""</f>
        <v/>
      </c>
      <c r="G184" s="15"/>
      <c r="H184" s="16"/>
      <c r="I184" s="15">
        <v>0</v>
      </c>
      <c r="J184" s="17"/>
      <c r="K184" s="15"/>
      <c r="L184" s="14" t="str">
        <f>""</f>
        <v/>
      </c>
      <c r="M184" s="15"/>
      <c r="N184" s="14" t="str">
        <f>""</f>
        <v/>
      </c>
    </row>
    <row r="185" spans="1:14">
      <c r="A185" s="12" t="s">
        <v>7</v>
      </c>
      <c r="B185" s="18" t="str">
        <f>""</f>
        <v/>
      </c>
      <c r="C185" s="18" t="str">
        <f>"Итого по кандидату"</f>
        <v>Итого по кандидату</v>
      </c>
      <c r="D185" s="19">
        <v>0.2</v>
      </c>
      <c r="E185" s="19">
        <v>0</v>
      </c>
      <c r="F185" s="18" t="str">
        <f>""</f>
        <v/>
      </c>
      <c r="G185" s="19">
        <v>0</v>
      </c>
      <c r="H185" s="20"/>
      <c r="I185" s="19">
        <v>0</v>
      </c>
      <c r="J185" s="21"/>
      <c r="K185" s="19">
        <v>0</v>
      </c>
      <c r="L185" s="18" t="str">
        <f>""</f>
        <v/>
      </c>
      <c r="M185" s="19">
        <v>0</v>
      </c>
      <c r="N185" s="18" t="str">
        <f>""</f>
        <v/>
      </c>
    </row>
    <row r="186" spans="1:14" ht="25.5">
      <c r="A186" s="12" t="s">
        <v>7</v>
      </c>
      <c r="B186" s="18" t="str">
        <f>""</f>
        <v/>
      </c>
      <c r="C186" s="18" t="str">
        <f>"Избирательный округ (Округ №4 (№ 4)), всего"</f>
        <v>Избирательный округ (Округ №4 (№ 4)), всего</v>
      </c>
      <c r="D186" s="19">
        <v>157.19</v>
      </c>
      <c r="E186" s="19">
        <v>0</v>
      </c>
      <c r="F186" s="18" t="str">
        <f>""</f>
        <v/>
      </c>
      <c r="G186" s="19">
        <v>80</v>
      </c>
      <c r="H186" s="20"/>
      <c r="I186" s="19">
        <v>150.61000000000001</v>
      </c>
      <c r="J186" s="21"/>
      <c r="K186" s="19">
        <v>0</v>
      </c>
      <c r="L186" s="18" t="str">
        <f>""</f>
        <v/>
      </c>
      <c r="M186" s="19">
        <v>0</v>
      </c>
      <c r="N186" s="18" t="str">
        <f>""</f>
        <v/>
      </c>
    </row>
    <row r="187" spans="1:14">
      <c r="A187" s="13" t="s">
        <v>83</v>
      </c>
      <c r="B187" s="14" t="str">
        <f>"Округ №5 (№ 5)"</f>
        <v>Округ №5 (№ 5)</v>
      </c>
      <c r="C187" s="14" t="str">
        <f>"Гайсина Алла Владимировна"</f>
        <v>Гайсина Алла Владимировна</v>
      </c>
      <c r="D187" s="15">
        <v>50</v>
      </c>
      <c r="E187" s="15"/>
      <c r="F187" s="14" t="str">
        <f>""</f>
        <v/>
      </c>
      <c r="G187" s="15"/>
      <c r="H187" s="16"/>
      <c r="I187" s="15">
        <v>50</v>
      </c>
      <c r="J187" s="17"/>
      <c r="K187" s="15"/>
      <c r="L187" s="14" t="str">
        <f>""</f>
        <v/>
      </c>
      <c r="M187" s="15"/>
      <c r="N187" s="14" t="str">
        <f>""</f>
        <v/>
      </c>
    </row>
    <row r="188" spans="1:14">
      <c r="A188" s="12" t="s">
        <v>7</v>
      </c>
      <c r="B188" s="18" t="str">
        <f>""</f>
        <v/>
      </c>
      <c r="C188" s="18" t="str">
        <f>"Итого по кандидату"</f>
        <v>Итого по кандидату</v>
      </c>
      <c r="D188" s="19">
        <v>50</v>
      </c>
      <c r="E188" s="19">
        <v>0</v>
      </c>
      <c r="F188" s="18" t="str">
        <f>""</f>
        <v/>
      </c>
      <c r="G188" s="19">
        <v>0</v>
      </c>
      <c r="H188" s="20"/>
      <c r="I188" s="19">
        <v>50</v>
      </c>
      <c r="J188" s="21"/>
      <c r="K188" s="19">
        <v>0</v>
      </c>
      <c r="L188" s="18" t="str">
        <f>""</f>
        <v/>
      </c>
      <c r="M188" s="19">
        <v>0</v>
      </c>
      <c r="N188" s="18" t="str">
        <f>""</f>
        <v/>
      </c>
    </row>
    <row r="189" spans="1:14">
      <c r="A189" s="13" t="s">
        <v>84</v>
      </c>
      <c r="B189" s="14" t="str">
        <f>"Округ №5 (№ 5)"</f>
        <v>Округ №5 (№ 5)</v>
      </c>
      <c r="C189" s="14" t="str">
        <f>"Жармухаметова Нуржамал Камзановна"</f>
        <v>Жармухаметова Нуржамал Камзановна</v>
      </c>
      <c r="D189" s="15">
        <v>0.3</v>
      </c>
      <c r="E189" s="15"/>
      <c r="F189" s="14" t="str">
        <f>""</f>
        <v/>
      </c>
      <c r="G189" s="15"/>
      <c r="H189" s="16"/>
      <c r="I189" s="15">
        <v>0.3</v>
      </c>
      <c r="J189" s="17"/>
      <c r="K189" s="15"/>
      <c r="L189" s="14" t="str">
        <f>""</f>
        <v/>
      </c>
      <c r="M189" s="15"/>
      <c r="N189" s="14" t="str">
        <f>""</f>
        <v/>
      </c>
    </row>
    <row r="190" spans="1:14">
      <c r="A190" s="12" t="s">
        <v>7</v>
      </c>
      <c r="B190" s="18" t="str">
        <f>""</f>
        <v/>
      </c>
      <c r="C190" s="18" t="str">
        <f>"Итого по кандидату"</f>
        <v>Итого по кандидату</v>
      </c>
      <c r="D190" s="19">
        <v>0.3</v>
      </c>
      <c r="E190" s="19">
        <v>0</v>
      </c>
      <c r="F190" s="18" t="str">
        <f>""</f>
        <v/>
      </c>
      <c r="G190" s="19">
        <v>0</v>
      </c>
      <c r="H190" s="20"/>
      <c r="I190" s="19">
        <v>0.3</v>
      </c>
      <c r="J190" s="21"/>
      <c r="K190" s="19">
        <v>0</v>
      </c>
      <c r="L190" s="18" t="str">
        <f>""</f>
        <v/>
      </c>
      <c r="M190" s="19">
        <v>0</v>
      </c>
      <c r="N190" s="18" t="str">
        <f>""</f>
        <v/>
      </c>
    </row>
    <row r="191" spans="1:14" ht="25.5">
      <c r="A191" s="12" t="s">
        <v>7</v>
      </c>
      <c r="B191" s="18" t="str">
        <f>""</f>
        <v/>
      </c>
      <c r="C191" s="18" t="str">
        <f>"Избирательный округ (Округ №5 (№ 5)), всего"</f>
        <v>Избирательный округ (Округ №5 (№ 5)), всего</v>
      </c>
      <c r="D191" s="19">
        <v>50.3</v>
      </c>
      <c r="E191" s="19">
        <v>0</v>
      </c>
      <c r="F191" s="18" t="str">
        <f>""</f>
        <v/>
      </c>
      <c r="G191" s="19">
        <v>0</v>
      </c>
      <c r="H191" s="20"/>
      <c r="I191" s="19">
        <v>50.3</v>
      </c>
      <c r="J191" s="21"/>
      <c r="K191" s="19">
        <v>0</v>
      </c>
      <c r="L191" s="18" t="str">
        <f>""</f>
        <v/>
      </c>
      <c r="M191" s="19">
        <v>0</v>
      </c>
      <c r="N191" s="18" t="str">
        <f>""</f>
        <v/>
      </c>
    </row>
    <row r="192" spans="1:14">
      <c r="A192" s="13" t="s">
        <v>85</v>
      </c>
      <c r="B192" s="14" t="str">
        <f>"Округ №6 (№ 6)"</f>
        <v>Округ №6 (№ 6)</v>
      </c>
      <c r="C192" s="14" t="str">
        <f>"Пыталев Степан Владимирович"</f>
        <v>Пыталев Степан Владимирович</v>
      </c>
      <c r="D192" s="15">
        <v>15</v>
      </c>
      <c r="E192" s="15"/>
      <c r="F192" s="14" t="str">
        <f>""</f>
        <v/>
      </c>
      <c r="G192" s="15"/>
      <c r="H192" s="16"/>
      <c r="I192" s="15">
        <v>15</v>
      </c>
      <c r="J192" s="17"/>
      <c r="K192" s="15"/>
      <c r="L192" s="14" t="str">
        <f>""</f>
        <v/>
      </c>
      <c r="M192" s="15"/>
      <c r="N192" s="14" t="str">
        <f>""</f>
        <v/>
      </c>
    </row>
    <row r="193" spans="1:14">
      <c r="A193" s="12" t="s">
        <v>7</v>
      </c>
      <c r="B193" s="18" t="str">
        <f>""</f>
        <v/>
      </c>
      <c r="C193" s="18" t="str">
        <f>"Итого по кандидату"</f>
        <v>Итого по кандидату</v>
      </c>
      <c r="D193" s="19">
        <v>15</v>
      </c>
      <c r="E193" s="19">
        <v>0</v>
      </c>
      <c r="F193" s="18" t="str">
        <f>""</f>
        <v/>
      </c>
      <c r="G193" s="19">
        <v>0</v>
      </c>
      <c r="H193" s="20"/>
      <c r="I193" s="19">
        <v>15</v>
      </c>
      <c r="J193" s="21"/>
      <c r="K193" s="19">
        <v>0</v>
      </c>
      <c r="L193" s="18" t="str">
        <f>""</f>
        <v/>
      </c>
      <c r="M193" s="19">
        <v>0</v>
      </c>
      <c r="N193" s="18" t="str">
        <f>""</f>
        <v/>
      </c>
    </row>
    <row r="194" spans="1:14">
      <c r="A194" s="13" t="s">
        <v>86</v>
      </c>
      <c r="B194" s="14" t="str">
        <f>"Округ №6 (№ 6)"</f>
        <v>Округ №6 (№ 6)</v>
      </c>
      <c r="C194" s="14" t="str">
        <f>"Сабирзянова Лариса Владимировна"</f>
        <v>Сабирзянова Лариса Владимировна</v>
      </c>
      <c r="D194" s="15">
        <v>0.3</v>
      </c>
      <c r="E194" s="15"/>
      <c r="F194" s="14" t="str">
        <f>""</f>
        <v/>
      </c>
      <c r="G194" s="15"/>
      <c r="H194" s="16"/>
      <c r="I194" s="15">
        <v>0.3</v>
      </c>
      <c r="J194" s="17"/>
      <c r="K194" s="15"/>
      <c r="L194" s="14" t="str">
        <f>""</f>
        <v/>
      </c>
      <c r="M194" s="15"/>
      <c r="N194" s="14" t="str">
        <f>""</f>
        <v/>
      </c>
    </row>
    <row r="195" spans="1:14">
      <c r="A195" s="12" t="s">
        <v>7</v>
      </c>
      <c r="B195" s="18" t="str">
        <f>""</f>
        <v/>
      </c>
      <c r="C195" s="18" t="str">
        <f>"Итого по кандидату"</f>
        <v>Итого по кандидату</v>
      </c>
      <c r="D195" s="19">
        <v>0.3</v>
      </c>
      <c r="E195" s="19">
        <v>0</v>
      </c>
      <c r="F195" s="18" t="str">
        <f>""</f>
        <v/>
      </c>
      <c r="G195" s="19">
        <v>0</v>
      </c>
      <c r="H195" s="20"/>
      <c r="I195" s="19">
        <v>0.3</v>
      </c>
      <c r="J195" s="21"/>
      <c r="K195" s="19">
        <v>0</v>
      </c>
      <c r="L195" s="18" t="str">
        <f>""</f>
        <v/>
      </c>
      <c r="M195" s="19">
        <v>0</v>
      </c>
      <c r="N195" s="18" t="str">
        <f>""</f>
        <v/>
      </c>
    </row>
    <row r="196" spans="1:14" ht="25.5">
      <c r="A196" s="12" t="s">
        <v>7</v>
      </c>
      <c r="B196" s="18" t="str">
        <f>""</f>
        <v/>
      </c>
      <c r="C196" s="18" t="str">
        <f>"Избирательный округ (Округ №6 (№ 6)), всего"</f>
        <v>Избирательный округ (Округ №6 (№ 6)), всего</v>
      </c>
      <c r="D196" s="19">
        <v>15.3</v>
      </c>
      <c r="E196" s="19">
        <v>0</v>
      </c>
      <c r="F196" s="18" t="str">
        <f>""</f>
        <v/>
      </c>
      <c r="G196" s="19">
        <v>0</v>
      </c>
      <c r="H196" s="20"/>
      <c r="I196" s="19">
        <v>15.3</v>
      </c>
      <c r="J196" s="21"/>
      <c r="K196" s="19">
        <v>0</v>
      </c>
      <c r="L196" s="18" t="str">
        <f>""</f>
        <v/>
      </c>
      <c r="M196" s="19">
        <v>0</v>
      </c>
      <c r="N196" s="18" t="str">
        <f>""</f>
        <v/>
      </c>
    </row>
    <row r="197" spans="1:14">
      <c r="A197" s="13" t="s">
        <v>87</v>
      </c>
      <c r="B197" s="14" t="str">
        <f>"Округ №7 (№ 7)"</f>
        <v>Округ №7 (№ 7)</v>
      </c>
      <c r="C197" s="14" t="str">
        <f>"Белоконь Андрей Александрович"</f>
        <v>Белоконь Андрей Александрович</v>
      </c>
      <c r="D197" s="15">
        <v>22.1</v>
      </c>
      <c r="E197" s="15"/>
      <c r="F197" s="14" t="str">
        <f>""</f>
        <v/>
      </c>
      <c r="G197" s="15"/>
      <c r="H197" s="16"/>
      <c r="I197" s="15">
        <v>20.16</v>
      </c>
      <c r="J197" s="17"/>
      <c r="K197" s="15"/>
      <c r="L197" s="14" t="str">
        <f>""</f>
        <v/>
      </c>
      <c r="M197" s="15"/>
      <c r="N197" s="14" t="str">
        <f>""</f>
        <v/>
      </c>
    </row>
    <row r="198" spans="1:14">
      <c r="A198" s="12" t="s">
        <v>7</v>
      </c>
      <c r="B198" s="18" t="str">
        <f>""</f>
        <v/>
      </c>
      <c r="C198" s="18" t="str">
        <f>"Итого по кандидату"</f>
        <v>Итого по кандидату</v>
      </c>
      <c r="D198" s="19">
        <v>22.1</v>
      </c>
      <c r="E198" s="19">
        <v>0</v>
      </c>
      <c r="F198" s="18" t="str">
        <f>""</f>
        <v/>
      </c>
      <c r="G198" s="19">
        <v>0</v>
      </c>
      <c r="H198" s="20"/>
      <c r="I198" s="19">
        <v>20.16</v>
      </c>
      <c r="J198" s="21"/>
      <c r="K198" s="19">
        <v>0</v>
      </c>
      <c r="L198" s="18" t="str">
        <f>""</f>
        <v/>
      </c>
      <c r="M198" s="19">
        <v>0</v>
      </c>
      <c r="N198" s="18" t="str">
        <f>""</f>
        <v/>
      </c>
    </row>
    <row r="199" spans="1:14">
      <c r="A199" s="13" t="s">
        <v>88</v>
      </c>
      <c r="B199" s="14" t="str">
        <f>"Округ №7 (№ 7)"</f>
        <v>Округ №7 (№ 7)</v>
      </c>
      <c r="C199" s="14" t="str">
        <f>"Герасимчук Виктория Владимировна"</f>
        <v>Герасимчук Виктория Владимировна</v>
      </c>
      <c r="D199" s="15">
        <v>0.2</v>
      </c>
      <c r="E199" s="15"/>
      <c r="F199" s="14" t="str">
        <f>""</f>
        <v/>
      </c>
      <c r="G199" s="15"/>
      <c r="H199" s="16"/>
      <c r="I199" s="15">
        <v>0.2</v>
      </c>
      <c r="J199" s="17"/>
      <c r="K199" s="15"/>
      <c r="L199" s="14" t="str">
        <f>""</f>
        <v/>
      </c>
      <c r="M199" s="15"/>
      <c r="N199" s="14" t="str">
        <f>""</f>
        <v/>
      </c>
    </row>
    <row r="200" spans="1:14">
      <c r="A200" s="12" t="s">
        <v>7</v>
      </c>
      <c r="B200" s="18" t="str">
        <f>""</f>
        <v/>
      </c>
      <c r="C200" s="18" t="str">
        <f>"Итого по кандидату"</f>
        <v>Итого по кандидату</v>
      </c>
      <c r="D200" s="19">
        <v>0.2</v>
      </c>
      <c r="E200" s="19">
        <v>0</v>
      </c>
      <c r="F200" s="18" t="str">
        <f>""</f>
        <v/>
      </c>
      <c r="G200" s="19">
        <v>0</v>
      </c>
      <c r="H200" s="20"/>
      <c r="I200" s="19">
        <v>0.2</v>
      </c>
      <c r="J200" s="21"/>
      <c r="K200" s="19">
        <v>0</v>
      </c>
      <c r="L200" s="18" t="str">
        <f>""</f>
        <v/>
      </c>
      <c r="M200" s="19">
        <v>0</v>
      </c>
      <c r="N200" s="18" t="str">
        <f>""</f>
        <v/>
      </c>
    </row>
    <row r="201" spans="1:14">
      <c r="A201" s="13" t="s">
        <v>89</v>
      </c>
      <c r="B201" s="14" t="str">
        <f>"Округ №7 (№ 7)"</f>
        <v>Округ №7 (№ 7)</v>
      </c>
      <c r="C201" s="14" t="str">
        <f>"Гончаренко Александр Владимирович"</f>
        <v>Гончаренко Александр Владимирович</v>
      </c>
      <c r="D201" s="15">
        <v>0.2</v>
      </c>
      <c r="E201" s="15"/>
      <c r="F201" s="14" t="str">
        <f>""</f>
        <v/>
      </c>
      <c r="G201" s="15"/>
      <c r="H201" s="16"/>
      <c r="I201" s="15">
        <v>0.2</v>
      </c>
      <c r="J201" s="17"/>
      <c r="K201" s="15"/>
      <c r="L201" s="14" t="str">
        <f>""</f>
        <v/>
      </c>
      <c r="M201" s="15"/>
      <c r="N201" s="14" t="str">
        <f>""</f>
        <v/>
      </c>
    </row>
    <row r="202" spans="1:14">
      <c r="A202" s="12" t="s">
        <v>7</v>
      </c>
      <c r="B202" s="18" t="str">
        <f>""</f>
        <v/>
      </c>
      <c r="C202" s="18" t="str">
        <f>"Итого по кандидату"</f>
        <v>Итого по кандидату</v>
      </c>
      <c r="D202" s="19">
        <v>0.2</v>
      </c>
      <c r="E202" s="19">
        <v>0</v>
      </c>
      <c r="F202" s="18" t="str">
        <f>""</f>
        <v/>
      </c>
      <c r="G202" s="19">
        <v>0</v>
      </c>
      <c r="H202" s="20"/>
      <c r="I202" s="19">
        <v>0.2</v>
      </c>
      <c r="J202" s="21"/>
      <c r="K202" s="19">
        <v>0</v>
      </c>
      <c r="L202" s="18" t="str">
        <f>""</f>
        <v/>
      </c>
      <c r="M202" s="19">
        <v>0</v>
      </c>
      <c r="N202" s="18" t="str">
        <f>""</f>
        <v/>
      </c>
    </row>
    <row r="203" spans="1:14">
      <c r="A203" s="13" t="s">
        <v>90</v>
      </c>
      <c r="B203" s="14" t="str">
        <f>"Округ №7 (№ 7)"</f>
        <v>Округ №7 (№ 7)</v>
      </c>
      <c r="C203" s="14" t="str">
        <f>"Шостак Никита Сергеевич"</f>
        <v>Шостак Никита Сергеевич</v>
      </c>
      <c r="D203" s="15">
        <v>0.3</v>
      </c>
      <c r="E203" s="15"/>
      <c r="F203" s="14" t="str">
        <f>""</f>
        <v/>
      </c>
      <c r="G203" s="15"/>
      <c r="H203" s="16"/>
      <c r="I203" s="15">
        <v>0.3</v>
      </c>
      <c r="J203" s="17"/>
      <c r="K203" s="15"/>
      <c r="L203" s="14" t="str">
        <f>""</f>
        <v/>
      </c>
      <c r="M203" s="15"/>
      <c r="N203" s="14" t="str">
        <f>""</f>
        <v/>
      </c>
    </row>
    <row r="204" spans="1:14">
      <c r="A204" s="12" t="s">
        <v>7</v>
      </c>
      <c r="B204" s="18" t="str">
        <f>""</f>
        <v/>
      </c>
      <c r="C204" s="18" t="str">
        <f>"Итого по кандидату"</f>
        <v>Итого по кандидату</v>
      </c>
      <c r="D204" s="19">
        <v>0.3</v>
      </c>
      <c r="E204" s="19">
        <v>0</v>
      </c>
      <c r="F204" s="18" t="str">
        <f>""</f>
        <v/>
      </c>
      <c r="G204" s="19">
        <v>0</v>
      </c>
      <c r="H204" s="20"/>
      <c r="I204" s="19">
        <v>0.3</v>
      </c>
      <c r="J204" s="21"/>
      <c r="K204" s="19">
        <v>0</v>
      </c>
      <c r="L204" s="18" t="str">
        <f>""</f>
        <v/>
      </c>
      <c r="M204" s="19">
        <v>0</v>
      </c>
      <c r="N204" s="18" t="str">
        <f>""</f>
        <v/>
      </c>
    </row>
    <row r="205" spans="1:14" ht="25.5">
      <c r="A205" s="12" t="s">
        <v>7</v>
      </c>
      <c r="B205" s="18" t="str">
        <f>""</f>
        <v/>
      </c>
      <c r="C205" s="18" t="str">
        <f>"Избирательный округ (Округ №7 (№ 7)), всего"</f>
        <v>Избирательный округ (Округ №7 (№ 7)), всего</v>
      </c>
      <c r="D205" s="19">
        <v>22.8</v>
      </c>
      <c r="E205" s="19">
        <v>0</v>
      </c>
      <c r="F205" s="18" t="str">
        <f>""</f>
        <v/>
      </c>
      <c r="G205" s="19">
        <v>0</v>
      </c>
      <c r="H205" s="20"/>
      <c r="I205" s="19">
        <v>20.86</v>
      </c>
      <c r="J205" s="21"/>
      <c r="K205" s="19">
        <v>0</v>
      </c>
      <c r="L205" s="18" t="str">
        <f>""</f>
        <v/>
      </c>
      <c r="M205" s="19">
        <v>0</v>
      </c>
      <c r="N205" s="18" t="str">
        <f>""</f>
        <v/>
      </c>
    </row>
    <row r="206" spans="1:14">
      <c r="A206" s="13" t="s">
        <v>91</v>
      </c>
      <c r="B206" s="14" t="str">
        <f>"Округ №8 (№ 8)"</f>
        <v>Округ №8 (№ 8)</v>
      </c>
      <c r="C206" s="14" t="str">
        <f>"Бондарева Татьяна Вячеславовна"</f>
        <v>Бондарева Татьяна Вячеславовна</v>
      </c>
      <c r="D206" s="15">
        <v>0.3</v>
      </c>
      <c r="E206" s="15"/>
      <c r="F206" s="14" t="str">
        <f>""</f>
        <v/>
      </c>
      <c r="G206" s="15"/>
      <c r="H206" s="16"/>
      <c r="I206" s="15">
        <v>0.3</v>
      </c>
      <c r="J206" s="17"/>
      <c r="K206" s="15"/>
      <c r="L206" s="14" t="str">
        <f>""</f>
        <v/>
      </c>
      <c r="M206" s="15"/>
      <c r="N206" s="14" t="str">
        <f>""</f>
        <v/>
      </c>
    </row>
    <row r="207" spans="1:14">
      <c r="A207" s="12" t="s">
        <v>7</v>
      </c>
      <c r="B207" s="18" t="str">
        <f>""</f>
        <v/>
      </c>
      <c r="C207" s="18" t="str">
        <f>"Итого по кандидату"</f>
        <v>Итого по кандидату</v>
      </c>
      <c r="D207" s="19">
        <v>0.3</v>
      </c>
      <c r="E207" s="19">
        <v>0</v>
      </c>
      <c r="F207" s="18" t="str">
        <f>""</f>
        <v/>
      </c>
      <c r="G207" s="19">
        <v>0</v>
      </c>
      <c r="H207" s="20"/>
      <c r="I207" s="19">
        <v>0.3</v>
      </c>
      <c r="J207" s="21"/>
      <c r="K207" s="19">
        <v>0</v>
      </c>
      <c r="L207" s="18" t="str">
        <f>""</f>
        <v/>
      </c>
      <c r="M207" s="19">
        <v>0</v>
      </c>
      <c r="N207" s="18" t="str">
        <f>""</f>
        <v/>
      </c>
    </row>
    <row r="208" spans="1:14">
      <c r="A208" s="13" t="s">
        <v>92</v>
      </c>
      <c r="B208" s="14" t="str">
        <f>"Округ №8 (№ 8)"</f>
        <v>Округ №8 (№ 8)</v>
      </c>
      <c r="C208" s="14" t="str">
        <f>"Важенина Алёна Борисовна"</f>
        <v>Важенина Алёна Борисовна</v>
      </c>
      <c r="D208" s="15">
        <v>0.3</v>
      </c>
      <c r="E208" s="15"/>
      <c r="F208" s="14" t="str">
        <f>""</f>
        <v/>
      </c>
      <c r="G208" s="15"/>
      <c r="H208" s="16"/>
      <c r="I208" s="15">
        <v>0.3</v>
      </c>
      <c r="J208" s="17"/>
      <c r="K208" s="15"/>
      <c r="L208" s="14" t="str">
        <f>""</f>
        <v/>
      </c>
      <c r="M208" s="15"/>
      <c r="N208" s="14" t="str">
        <f>""</f>
        <v/>
      </c>
    </row>
    <row r="209" spans="1:14">
      <c r="A209" s="12" t="s">
        <v>7</v>
      </c>
      <c r="B209" s="18" t="str">
        <f>""</f>
        <v/>
      </c>
      <c r="C209" s="18" t="str">
        <f>"Итого по кандидату"</f>
        <v>Итого по кандидату</v>
      </c>
      <c r="D209" s="19">
        <v>0.3</v>
      </c>
      <c r="E209" s="19">
        <v>0</v>
      </c>
      <c r="F209" s="18" t="str">
        <f>""</f>
        <v/>
      </c>
      <c r="G209" s="19">
        <v>0</v>
      </c>
      <c r="H209" s="20"/>
      <c r="I209" s="19">
        <v>0.3</v>
      </c>
      <c r="J209" s="21"/>
      <c r="K209" s="19">
        <v>0</v>
      </c>
      <c r="L209" s="18" t="str">
        <f>""</f>
        <v/>
      </c>
      <c r="M209" s="19">
        <v>0</v>
      </c>
      <c r="N209" s="18" t="str">
        <f>""</f>
        <v/>
      </c>
    </row>
    <row r="210" spans="1:14">
      <c r="A210" s="13" t="s">
        <v>93</v>
      </c>
      <c r="B210" s="14" t="str">
        <f>"Округ №8 (№ 8)"</f>
        <v>Округ №8 (№ 8)</v>
      </c>
      <c r="C210" s="14" t="str">
        <f>"Миннигулов Марат Мунирович"</f>
        <v>Миннигулов Марат Мунирович</v>
      </c>
      <c r="D210" s="15">
        <v>39</v>
      </c>
      <c r="E210" s="15"/>
      <c r="F210" s="14" t="str">
        <f>""</f>
        <v/>
      </c>
      <c r="G210" s="15"/>
      <c r="H210" s="16"/>
      <c r="I210" s="15">
        <v>39</v>
      </c>
      <c r="J210" s="17"/>
      <c r="K210" s="15"/>
      <c r="L210" s="14" t="str">
        <f>""</f>
        <v/>
      </c>
      <c r="M210" s="15"/>
      <c r="N210" s="14" t="str">
        <f>""</f>
        <v/>
      </c>
    </row>
    <row r="211" spans="1:14">
      <c r="A211" s="12" t="s">
        <v>7</v>
      </c>
      <c r="B211" s="18" t="str">
        <f>""</f>
        <v/>
      </c>
      <c r="C211" s="18" t="str">
        <f>"Итого по кандидату"</f>
        <v>Итого по кандидату</v>
      </c>
      <c r="D211" s="19">
        <v>39</v>
      </c>
      <c r="E211" s="19">
        <v>0</v>
      </c>
      <c r="F211" s="18" t="str">
        <f>""</f>
        <v/>
      </c>
      <c r="G211" s="19">
        <v>0</v>
      </c>
      <c r="H211" s="20"/>
      <c r="I211" s="19">
        <v>39</v>
      </c>
      <c r="J211" s="21"/>
      <c r="K211" s="19">
        <v>0</v>
      </c>
      <c r="L211" s="18" t="str">
        <f>""</f>
        <v/>
      </c>
      <c r="M211" s="19">
        <v>0</v>
      </c>
      <c r="N211" s="18" t="str">
        <f>""</f>
        <v/>
      </c>
    </row>
    <row r="212" spans="1:14" ht="25.5">
      <c r="A212" s="12" t="s">
        <v>7</v>
      </c>
      <c r="B212" s="18" t="str">
        <f>""</f>
        <v/>
      </c>
      <c r="C212" s="18" t="str">
        <f>"Избирательный округ (Округ №8 (№ 8)), всего"</f>
        <v>Избирательный округ (Округ №8 (№ 8)), всего</v>
      </c>
      <c r="D212" s="19">
        <v>39.6</v>
      </c>
      <c r="E212" s="19">
        <v>0</v>
      </c>
      <c r="F212" s="18" t="str">
        <f>""</f>
        <v/>
      </c>
      <c r="G212" s="19">
        <v>0</v>
      </c>
      <c r="H212" s="20"/>
      <c r="I212" s="19">
        <v>39.6</v>
      </c>
      <c r="J212" s="21"/>
      <c r="K212" s="19">
        <v>0</v>
      </c>
      <c r="L212" s="18" t="str">
        <f>""</f>
        <v/>
      </c>
      <c r="M212" s="19">
        <v>0</v>
      </c>
      <c r="N212" s="18" t="str">
        <f>""</f>
        <v/>
      </c>
    </row>
    <row r="213" spans="1:14">
      <c r="A213" s="13" t="s">
        <v>94</v>
      </c>
      <c r="B213" s="14" t="str">
        <f>"Округ №9 (№ 9)"</f>
        <v>Округ №9 (№ 9)</v>
      </c>
      <c r="C213" s="14" t="str">
        <f>"Андреевский Александр Юрьевич"</f>
        <v>Андреевский Александр Юрьевич</v>
      </c>
      <c r="D213" s="15">
        <v>7.35</v>
      </c>
      <c r="E213" s="15"/>
      <c r="F213" s="14" t="str">
        <f>""</f>
        <v/>
      </c>
      <c r="G213" s="15"/>
      <c r="H213" s="16"/>
      <c r="I213" s="15">
        <v>7.35</v>
      </c>
      <c r="J213" s="17"/>
      <c r="K213" s="15"/>
      <c r="L213" s="14" t="str">
        <f>""</f>
        <v/>
      </c>
      <c r="M213" s="15"/>
      <c r="N213" s="14" t="str">
        <f>""</f>
        <v/>
      </c>
    </row>
    <row r="214" spans="1:14">
      <c r="A214" s="12" t="s">
        <v>7</v>
      </c>
      <c r="B214" s="18" t="str">
        <f>""</f>
        <v/>
      </c>
      <c r="C214" s="18" t="str">
        <f>"Итого по кандидату"</f>
        <v>Итого по кандидату</v>
      </c>
      <c r="D214" s="19">
        <v>7.35</v>
      </c>
      <c r="E214" s="19">
        <v>0</v>
      </c>
      <c r="F214" s="18" t="str">
        <f>""</f>
        <v/>
      </c>
      <c r="G214" s="19">
        <v>0</v>
      </c>
      <c r="H214" s="20"/>
      <c r="I214" s="19">
        <v>7.35</v>
      </c>
      <c r="J214" s="21"/>
      <c r="K214" s="19">
        <v>0</v>
      </c>
      <c r="L214" s="18" t="str">
        <f>""</f>
        <v/>
      </c>
      <c r="M214" s="19">
        <v>0</v>
      </c>
      <c r="N214" s="18" t="str">
        <f>""</f>
        <v/>
      </c>
    </row>
    <row r="215" spans="1:14" ht="25.5">
      <c r="A215" s="12" t="s">
        <v>7</v>
      </c>
      <c r="B215" s="18" t="str">
        <f>""</f>
        <v/>
      </c>
      <c r="C215" s="18" t="str">
        <f>"Избирательный округ (Округ №9 (№ 9)), всего"</f>
        <v>Избирательный округ (Округ №9 (№ 9)), всего</v>
      </c>
      <c r="D215" s="19">
        <v>7.35</v>
      </c>
      <c r="E215" s="19">
        <v>0</v>
      </c>
      <c r="F215" s="18" t="str">
        <f>""</f>
        <v/>
      </c>
      <c r="G215" s="19">
        <v>0</v>
      </c>
      <c r="H215" s="20"/>
      <c r="I215" s="19">
        <v>7.35</v>
      </c>
      <c r="J215" s="21"/>
      <c r="K215" s="19">
        <v>0</v>
      </c>
      <c r="L215" s="18" t="str">
        <f>""</f>
        <v/>
      </c>
      <c r="M215" s="19">
        <v>0</v>
      </c>
      <c r="N215" s="18" t="str">
        <f>""</f>
        <v/>
      </c>
    </row>
    <row r="216" spans="1:14">
      <c r="A216" s="12" t="s">
        <v>7</v>
      </c>
      <c r="B216" s="18" t="str">
        <f>""</f>
        <v/>
      </c>
      <c r="C216" s="18" t="str">
        <f>"Итого"</f>
        <v>Итого</v>
      </c>
      <c r="D216" s="19">
        <v>3092.37</v>
      </c>
      <c r="E216" s="19">
        <v>760</v>
      </c>
      <c r="F216" s="18" t="str">
        <f>""</f>
        <v/>
      </c>
      <c r="G216" s="19">
        <v>610</v>
      </c>
      <c r="H216" s="20">
        <v>15</v>
      </c>
      <c r="I216" s="19">
        <v>2764.32</v>
      </c>
      <c r="J216" s="21"/>
      <c r="K216" s="19">
        <v>555.34</v>
      </c>
      <c r="L216" s="18" t="str">
        <f>""</f>
        <v/>
      </c>
      <c r="M216" s="19">
        <v>95</v>
      </c>
      <c r="N216" s="18" t="str">
        <f>""</f>
        <v/>
      </c>
    </row>
  </sheetData>
  <mergeCells count="19">
    <mergeCell ref="I7:I9"/>
    <mergeCell ref="J7:L7"/>
    <mergeCell ref="M7:M9"/>
    <mergeCell ref="N7:N9"/>
    <mergeCell ref="E8:F8"/>
    <mergeCell ref="G8:H8"/>
    <mergeCell ref="J8:J9"/>
    <mergeCell ref="K8:K9"/>
    <mergeCell ref="L8:L9"/>
    <mergeCell ref="A2:N2"/>
    <mergeCell ref="A3:N3"/>
    <mergeCell ref="A6:A9"/>
    <mergeCell ref="B6:B9"/>
    <mergeCell ref="C6:C9"/>
    <mergeCell ref="D6:H6"/>
    <mergeCell ref="I6:L6"/>
    <mergeCell ref="M6:N6"/>
    <mergeCell ref="D7:D9"/>
    <mergeCell ref="E7:H7"/>
  </mergeCells>
  <pageMargins left="0.34722222222222221" right="0.1388888888888889" top="0.1388888888888889" bottom="0.1388888888888889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2016-09-15T10:44:01Z</dcterms:created>
  <dcterms:modified xsi:type="dcterms:W3CDTF">2016-09-15T10:46:25Z</dcterms:modified>
</cp:coreProperties>
</file>